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1100" windowHeight="8640" tabRatio="951" activeTab="1"/>
  </bookViews>
  <sheets>
    <sheet name="index" sheetId="1" r:id="rId1"/>
    <sheet name="tulkol" sheetId="2" r:id="rId2"/>
    <sheet name="tblkol" sheetId="3" r:id="rId3"/>
    <sheet name="InteraksiKolom" sheetId="4" r:id="rId4"/>
    <sheet name="Pilecap" sheetId="5" r:id="rId5"/>
    <sheet name="tanggaatasbawah" sheetId="6" r:id="rId6"/>
    <sheet name="pondtelapak" sheetId="7" r:id="rId7"/>
    <sheet name="spt" sheetId="8" r:id="rId8"/>
    <sheet name="pondplat" sheetId="9" r:id="rId9"/>
    <sheet name="konsol pendek" sheetId="10" r:id="rId10"/>
  </sheets>
  <definedNames>
    <definedName name="_Order1" hidden="1">255</definedName>
    <definedName name="_Order2" hidden="1">0</definedName>
    <definedName name="_xlnm.Print_Titles" localSheetId="4">'Pilecap'!$1:$3</definedName>
    <definedName name="_xlnm.Print_Titles" localSheetId="8">'pondplat'!$1:$3</definedName>
    <definedName name="_xlnm.Print_Titles" localSheetId="6">'pondtelapak'!$1:$3</definedName>
    <definedName name="_xlnm.Print_Titles" localSheetId="7">'spt'!$3:$3</definedName>
    <definedName name="_xlnm.Print_Titles" localSheetId="5">'tanggaatasbawah'!$1:$3</definedName>
    <definedName name="wrn.ts." localSheetId="0" hidden="1">{"tabel plat",#N/A,TRUE,"Kontrol";"pembebanan portal",#N/A,TRUE,"balok tinggi"}</definedName>
    <definedName name="wrn.ts." localSheetId="3" hidden="1">{"tabel plat",#N/A,TRUE,"Kontrol";"pembebanan portal",#N/A,TRUE,"balok tinggi"}</definedName>
    <definedName name="wrn.ts." localSheetId="9" hidden="1">{"tabel plat",#N/A,TRUE,"Kontrol";"pembebanan portal",#N/A,TRUE,"balok tinggi"}</definedName>
    <definedName name="wrn.ts." localSheetId="4" hidden="1">{"tabel plat",#N/A,TRUE,"Kontrol";"pembebanan portal",#N/A,TRUE,"balok tinggi"}</definedName>
    <definedName name="wrn.ts." localSheetId="8" hidden="1">{"tabel plat",#N/A,TRUE,"Kontrol";"pembebanan portal",#N/A,TRUE,"balok tinggi"}</definedName>
    <definedName name="wrn.ts." localSheetId="6" hidden="1">{"tabel plat",#N/A,TRUE,"Kontrol";"pembebanan portal",#N/A,TRUE,"balok tinggi"}</definedName>
    <definedName name="wrn.ts." localSheetId="7" hidden="1">{"tabel plat",#N/A,TRUE,"Kontrol";"pembebanan portal",#N/A,TRUE,"balok tinggi"}</definedName>
    <definedName name="wrn.ts." localSheetId="5" hidden="1">{"tabel plat",#N/A,TRUE,"Kontrol";"pembebanan portal",#N/A,TRUE,"balok tinggi"}</definedName>
    <definedName name="wrn.ts." localSheetId="2" hidden="1">{"tabel plat",#N/A,TRUE,"Kontrol";"pembebanan portal",#N/A,TRUE,"balok tinggi"}</definedName>
    <definedName name="wrn.ts." localSheetId="1" hidden="1">{"tabel plat",#N/A,TRUE,"Kontrol";"pembebanan portal",#N/A,TRUE,"balok tinggi"}</definedName>
    <definedName name="wrn.ts." hidden="1">{"tabel plat",#N/A,TRUE,"Kontrol";"pembebanan portal",#N/A,TRUE,"balok tinggi"}</definedName>
    <definedName name="Z_5D1900C4_630E_486B_87FB_2B3C074E833A_.wvu.Cols" localSheetId="2" hidden="1">'tblkol'!$C:$D</definedName>
    <definedName name="Z_5D1900C4_630E_486B_87FB_2B3C074E833A_.wvu.PrintTitles" localSheetId="4" hidden="1">'Pilecap'!$1:$3</definedName>
    <definedName name="Z_5D1900C4_630E_486B_87FB_2B3C074E833A_.wvu.PrintTitles" localSheetId="6" hidden="1">'pondtelapak'!$1:$3</definedName>
    <definedName name="Z_5D1900C4_630E_486B_87FB_2B3C074E833A_.wvu.PrintTitles" localSheetId="7" hidden="1">'spt'!$3:$3</definedName>
    <definedName name="Z_5D1900C4_630E_486B_87FB_2B3C074E833A_.wvu.Rows" localSheetId="4" hidden="1">'Pilecap'!$60:$116,'Pilecap'!$178:$234</definedName>
    <definedName name="Z_5D1900C4_630E_486B_87FB_2B3C074E833A_.wvu.Rows" localSheetId="2" hidden="1">'tblkol'!$18:$123</definedName>
    <definedName name="Z_5D1900C4_630E_486B_87FB_2B3C074E833A_.wvu.Rows" localSheetId="1" hidden="1">'tulkol'!$33:$137</definedName>
  </definedNames>
  <calcPr fullCalcOnLoad="1"/>
</workbook>
</file>

<file path=xl/sharedStrings.xml><?xml version="1.0" encoding="utf-8"?>
<sst xmlns="http://schemas.openxmlformats.org/spreadsheetml/2006/main" count="1451" uniqueCount="550">
  <si>
    <t>INDEX</t>
  </si>
  <si>
    <t>JUDUL</t>
  </si>
  <si>
    <t>NO. DOKUMEN</t>
  </si>
  <si>
    <t>SHEET</t>
  </si>
  <si>
    <t>LITERATURE</t>
  </si>
  <si>
    <t>Penulangan Kolom</t>
  </si>
  <si>
    <t>BTN/PBI&amp;SKSNI/TS/05</t>
  </si>
  <si>
    <t>Tabel Penulangan Kolom</t>
  </si>
  <si>
    <t>BTN/PBI&amp;SKSNI/TS/05-1</t>
  </si>
  <si>
    <t>Penulangan Pile Cap</t>
  </si>
  <si>
    <t>BTN/SKSNI/TS/06</t>
  </si>
  <si>
    <t>Pilecap</t>
  </si>
  <si>
    <t>Penulangan Tangga</t>
  </si>
  <si>
    <t>BTN/SKSNI/TS/07</t>
  </si>
  <si>
    <t>Pondasi Telapak</t>
  </si>
  <si>
    <t>BTN/SKSNI/TS/08-1</t>
  </si>
  <si>
    <t>pondtelapak</t>
  </si>
  <si>
    <t>Daya Dukung Tiang Pancang</t>
  </si>
  <si>
    <t>BTN/SKSNI/TS/08-2</t>
  </si>
  <si>
    <t>spt</t>
  </si>
  <si>
    <t>Konsol Pendek</t>
  </si>
  <si>
    <t>BTN/SKSNI/TS/09</t>
  </si>
  <si>
    <t>konsol pendek</t>
  </si>
  <si>
    <t>KODE DOKUMENT</t>
  </si>
  <si>
    <t>(1) / (2) / (3) / (4)</t>
  </si>
  <si>
    <t>(1) Jenis doukument</t>
  </si>
  <si>
    <t xml:space="preserve">     - NOTE     = data perencanaan, kesimpulan, lampiran</t>
  </si>
  <si>
    <t xml:space="preserve">     - BJ          = Konstruksi Baja</t>
  </si>
  <si>
    <t xml:space="preserve">     - BTN       = Konstruksi Beton</t>
  </si>
  <si>
    <t xml:space="preserve">     - COM     = Konstruksi Kompusit</t>
  </si>
  <si>
    <t>(2) Peraturan</t>
  </si>
  <si>
    <t xml:space="preserve">     - PB!       - LRFD</t>
  </si>
  <si>
    <t xml:space="preserve">     - SKSNI  - ACI</t>
  </si>
  <si>
    <t xml:space="preserve">     - SNI      - PPBBI</t>
  </si>
  <si>
    <t xml:space="preserve">     - Kombinasi = ditambah "&amp;"</t>
  </si>
  <si>
    <t>(3) Asal, sumber, pembuat</t>
  </si>
  <si>
    <t xml:space="preserve">     - TS</t>
  </si>
  <si>
    <t xml:space="preserve">     - YATSER</t>
  </si>
  <si>
    <t>(4) Nomor</t>
  </si>
  <si>
    <t xml:space="preserve">     - Dua angka</t>
  </si>
  <si>
    <t>Pembebanan</t>
  </si>
  <si>
    <t>Data-data</t>
  </si>
  <si>
    <t>cm</t>
  </si>
  <si>
    <t>fc'  (beton)</t>
  </si>
  <si>
    <t>Mpa</t>
  </si>
  <si>
    <t>tebal plat</t>
  </si>
  <si>
    <t>=</t>
  </si>
  <si>
    <t>y</t>
  </si>
  <si>
    <t>a</t>
  </si>
  <si>
    <t>s</t>
  </si>
  <si>
    <t>b</t>
  </si>
  <si>
    <t>h</t>
  </si>
  <si>
    <t>Data - data</t>
  </si>
  <si>
    <t>m</t>
  </si>
  <si>
    <t>kg/m2</t>
  </si>
  <si>
    <t>tebal spesi</t>
  </si>
  <si>
    <t>tebal tegel</t>
  </si>
  <si>
    <t>tebal air hujan</t>
  </si>
  <si>
    <t>beban guna</t>
  </si>
  <si>
    <t>Beban mati</t>
  </si>
  <si>
    <t>pelat</t>
  </si>
  <si>
    <t>spesi</t>
  </si>
  <si>
    <t>keramik</t>
  </si>
  <si>
    <t>DD</t>
  </si>
  <si>
    <t>Beban hidup</t>
  </si>
  <si>
    <t>guna</t>
  </si>
  <si>
    <t>DL</t>
  </si>
  <si>
    <t>Beban berfaktor</t>
  </si>
  <si>
    <t>Statika</t>
  </si>
  <si>
    <t>kgm</t>
  </si>
  <si>
    <t>Penulangan</t>
  </si>
  <si>
    <t>mm</t>
  </si>
  <si>
    <t>fy' (baja)</t>
  </si>
  <si>
    <t>kNm</t>
  </si>
  <si>
    <t>Mu</t>
  </si>
  <si>
    <t>ppakai</t>
  </si>
  <si>
    <t>mm2</t>
  </si>
  <si>
    <r>
      <t>Lapangan X</t>
    </r>
    <r>
      <rPr>
        <sz val="10"/>
        <rFont val="Arial"/>
        <family val="0"/>
      </rPr>
      <t xml:space="preserve"> (tul atas)</t>
    </r>
  </si>
  <si>
    <r>
      <t>Tumpuan X</t>
    </r>
    <r>
      <rPr>
        <sz val="10"/>
        <rFont val="Arial"/>
        <family val="0"/>
      </rPr>
      <t xml:space="preserve"> (tul atas)</t>
    </r>
  </si>
  <si>
    <t>Tumpuan X (tul bagi)</t>
  </si>
  <si>
    <r>
      <t xml:space="preserve">d' </t>
    </r>
    <r>
      <rPr>
        <b/>
        <sz val="10"/>
        <color indexed="9"/>
        <rFont val="Arial"/>
        <family val="2"/>
      </rPr>
      <t>(1)</t>
    </r>
  </si>
  <si>
    <t xml:space="preserve">j </t>
  </si>
  <si>
    <t>W</t>
  </si>
  <si>
    <t>MPa</t>
  </si>
  <si>
    <t>Lx</t>
  </si>
  <si>
    <t>Ly</t>
  </si>
  <si>
    <t>Type</t>
  </si>
  <si>
    <t>ht</t>
  </si>
  <si>
    <t>max</t>
  </si>
  <si>
    <t>A</t>
  </si>
  <si>
    <t>f</t>
  </si>
  <si>
    <t>-</t>
  </si>
  <si>
    <t>D</t>
  </si>
  <si>
    <t>d</t>
  </si>
  <si>
    <t>4 D13</t>
  </si>
  <si>
    <t>6 D13</t>
  </si>
  <si>
    <t>&lt;</t>
  </si>
  <si>
    <t>kg</t>
  </si>
  <si>
    <t>Dari hasil out-put ETABS diperoleh</t>
  </si>
  <si>
    <t xml:space="preserve">P   = </t>
  </si>
  <si>
    <t xml:space="preserve">M  = </t>
  </si>
  <si>
    <t>kg.m</t>
  </si>
  <si>
    <t xml:space="preserve">panjang tekuk = </t>
  </si>
  <si>
    <t xml:space="preserve">b  = </t>
  </si>
  <si>
    <t xml:space="preserve">ht  = </t>
  </si>
  <si>
    <t>eo1  =</t>
  </si>
  <si>
    <t xml:space="preserve">M </t>
  </si>
  <si>
    <t>P</t>
  </si>
  <si>
    <t>eo2  =</t>
  </si>
  <si>
    <t>eo  =  eo1  +  eo2  =</t>
  </si>
  <si>
    <t>eo</t>
  </si>
  <si>
    <t>(</t>
  </si>
  <si>
    <t>/</t>
  </si>
  <si>
    <t>e2</t>
  </si>
  <si>
    <t>0.15 ht</t>
  </si>
  <si>
    <t>eu</t>
  </si>
  <si>
    <t>eo + e1 + e2</t>
  </si>
  <si>
    <t>+</t>
  </si>
  <si>
    <t>eau =</t>
  </si>
  <si>
    <t>eu + ( 1/2 ht )</t>
  </si>
  <si>
    <t>P . eau  =</t>
  </si>
  <si>
    <t>x</t>
  </si>
  <si>
    <t>kg.cm</t>
  </si>
  <si>
    <t>Pembesian kolom  :</t>
  </si>
  <si>
    <t xml:space="preserve">- lebar kolom       =  </t>
  </si>
  <si>
    <t>- beton decking    =</t>
  </si>
  <si>
    <t>- tebal efektif  d    =</t>
  </si>
  <si>
    <t>- Mutu beton fc'   =</t>
  </si>
  <si>
    <t>K-250  =</t>
  </si>
  <si>
    <t>- Mutu baja  fy     =</t>
  </si>
  <si>
    <t>U-354    =</t>
  </si>
  <si>
    <t>m    =  fc  /  (0,85 .fy)</t>
  </si>
  <si>
    <t xml:space="preserve">       =  </t>
  </si>
  <si>
    <t xml:space="preserve">       =</t>
  </si>
  <si>
    <r>
      <t>r</t>
    </r>
    <r>
      <rPr>
        <sz val="10"/>
        <rFont val="Arial"/>
        <family val="0"/>
      </rPr>
      <t xml:space="preserve"> </t>
    </r>
  </si>
  <si>
    <t xml:space="preserve">  (1/m) *  (1  -       ( 1 - ((2 Rn m)/fy)) )</t>
  </si>
  <si>
    <t>( Aact =</t>
  </si>
  <si>
    <t>mm2)</t>
  </si>
  <si>
    <t>Pembesian begel  :</t>
  </si>
  <si>
    <t>Dsengkang</t>
  </si>
  <si>
    <t>d10</t>
  </si>
  <si>
    <t>S1</t>
  </si>
  <si>
    <t>S2</t>
  </si>
  <si>
    <t>S3</t>
  </si>
  <si>
    <t>Smin</t>
  </si>
  <si>
    <r>
      <t>dari tabel PBI'71 10.6.2 , untuk baja keras -----&gt;  C</t>
    </r>
    <r>
      <rPr>
        <vertAlign val="subscript"/>
        <sz val="11"/>
        <rFont val="Arial"/>
        <family val="2"/>
      </rPr>
      <t>2</t>
    </r>
    <r>
      <rPr>
        <sz val="10"/>
        <rFont val="Arial"/>
        <family val="0"/>
      </rPr>
      <t xml:space="preserve">  = </t>
    </r>
  </si>
  <si>
    <r>
      <t>C</t>
    </r>
    <r>
      <rPr>
        <vertAlign val="subscript"/>
        <sz val="11"/>
        <rFont val="Arial"/>
        <family val="2"/>
      </rPr>
      <t>1</t>
    </r>
    <r>
      <rPr>
        <sz val="10"/>
        <rFont val="Arial"/>
        <family val="0"/>
      </rPr>
      <t xml:space="preserve">  =</t>
    </r>
  </si>
  <si>
    <r>
      <t>e1  =  C</t>
    </r>
    <r>
      <rPr>
        <vertAlign val="subscript"/>
        <sz val="11"/>
        <rFont val="Arial"/>
        <family val="2"/>
      </rPr>
      <t>1</t>
    </r>
    <r>
      <rPr>
        <sz val="10"/>
        <rFont val="Arial"/>
        <family val="0"/>
      </rPr>
      <t xml:space="preserve"> C</t>
    </r>
    <r>
      <rPr>
        <vertAlign val="subscript"/>
        <sz val="11"/>
        <rFont val="Arial"/>
        <family val="2"/>
      </rPr>
      <t>2</t>
    </r>
    <r>
      <rPr>
        <sz val="10"/>
        <rFont val="Arial"/>
        <family val="0"/>
      </rPr>
      <t xml:space="preserve">  ( lk / 100.ht 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 ht</t>
    </r>
  </si>
  <si>
    <r>
      <t>)</t>
    </r>
    <r>
      <rPr>
        <vertAlign val="superscript"/>
        <sz val="11"/>
        <rFont val="Arial"/>
        <family val="2"/>
      </rPr>
      <t>2</t>
    </r>
  </si>
  <si>
    <r>
      <t>Rn   =  M  / (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b d</t>
    </r>
    <r>
      <rPr>
        <vertAlign val="superscript"/>
        <sz val="11"/>
        <rFont val="Arial"/>
        <family val="2"/>
      </rPr>
      <t>2</t>
    </r>
    <r>
      <rPr>
        <sz val="10"/>
        <rFont val="Arial"/>
        <family val="0"/>
      </rPr>
      <t>)</t>
    </r>
  </si>
  <si>
    <r>
      <t>A</t>
    </r>
    <r>
      <rPr>
        <vertAlign val="subscript"/>
        <sz val="11"/>
        <rFont val="Arial"/>
        <family val="2"/>
      </rPr>
      <t>perlu</t>
    </r>
    <r>
      <rPr>
        <sz val="10"/>
        <rFont val="Arial"/>
        <family val="0"/>
      </rPr>
      <t xml:space="preserve"> =  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.b .d  = </t>
    </r>
  </si>
  <si>
    <r>
      <t>Dipasang tulangan  8</t>
    </r>
    <r>
      <rPr>
        <i/>
        <sz val="10"/>
        <rFont val="Arial"/>
        <family val="0"/>
      </rPr>
      <t xml:space="preserve"> d</t>
    </r>
    <r>
      <rPr>
        <sz val="10"/>
        <rFont val="Arial"/>
        <family val="0"/>
      </rPr>
      <t xml:space="preserve"> - 19   (A</t>
    </r>
    <r>
      <rPr>
        <vertAlign val="subscript"/>
        <sz val="12"/>
        <rFont val="Arial"/>
        <family val="2"/>
      </rPr>
      <t>act</t>
    </r>
    <r>
      <rPr>
        <sz val="10"/>
        <rFont val="Arial"/>
        <family val="0"/>
      </rPr>
      <t xml:space="preserve"> = </t>
    </r>
  </si>
  <si>
    <t>Lokasi</t>
  </si>
  <si>
    <t>Lt. 4</t>
  </si>
  <si>
    <t>Lt. 3</t>
  </si>
  <si>
    <t>Lt. 2</t>
  </si>
  <si>
    <t>Lt. 1</t>
  </si>
  <si>
    <t>No. frame ETABS</t>
  </si>
  <si>
    <t>C32</t>
  </si>
  <si>
    <t>C56</t>
  </si>
  <si>
    <t>C38</t>
  </si>
  <si>
    <t>C39</t>
  </si>
  <si>
    <t>P(kg)</t>
  </si>
  <si>
    <t>M(kg-m)</t>
  </si>
  <si>
    <t>panjang tekuk (cm)</t>
  </si>
  <si>
    <t>b (cm)</t>
  </si>
  <si>
    <t>ht (cm)</t>
  </si>
  <si>
    <t>(lentur N &amp; PBI 1971)</t>
  </si>
  <si>
    <t>eo1 (cm)</t>
  </si>
  <si>
    <t>eo2 (cm)</t>
  </si>
  <si>
    <t>eo (cm)</t>
  </si>
  <si>
    <t>eo/ht (cm)</t>
  </si>
  <si>
    <t>e1 (cm)</t>
  </si>
  <si>
    <t>e2 (cm)</t>
  </si>
  <si>
    <t>eu (cm)</t>
  </si>
  <si>
    <t>eau (cm)</t>
  </si>
  <si>
    <t>P.eau (kgm)</t>
  </si>
  <si>
    <t>(SKSNI 1991)</t>
  </si>
  <si>
    <t>Lebar kolom (mm)</t>
  </si>
  <si>
    <t>Beton decking(mm)</t>
  </si>
  <si>
    <t>Tebal efektif d (mm)</t>
  </si>
  <si>
    <t>fc' (Mpa)</t>
  </si>
  <si>
    <t>fy (Mpa)</t>
  </si>
  <si>
    <t>Rn</t>
  </si>
  <si>
    <t>Dipasang</t>
  </si>
  <si>
    <t>4 D19</t>
  </si>
  <si>
    <t>8 D13</t>
  </si>
  <si>
    <t>8 D19</t>
  </si>
  <si>
    <t>11 D22</t>
  </si>
  <si>
    <t>15 D22</t>
  </si>
  <si>
    <t>Apakai (mm2)</t>
  </si>
  <si>
    <t>d8</t>
  </si>
  <si>
    <t>d12</t>
  </si>
  <si>
    <t>Spakai</t>
  </si>
  <si>
    <r>
      <t>C</t>
    </r>
    <r>
      <rPr>
        <i/>
        <vertAlign val="subscript"/>
        <sz val="10"/>
        <rFont val="Arial"/>
        <family val="2"/>
      </rPr>
      <t>2</t>
    </r>
  </si>
  <si>
    <r>
      <t>C</t>
    </r>
    <r>
      <rPr>
        <i/>
        <vertAlign val="subscript"/>
        <sz val="10"/>
        <rFont val="Arial"/>
        <family val="2"/>
      </rPr>
      <t>1</t>
    </r>
  </si>
  <si>
    <r>
      <t>r</t>
    </r>
    <r>
      <rPr>
        <i/>
        <sz val="10"/>
        <rFont val="Arial"/>
        <family val="0"/>
      </rPr>
      <t xml:space="preserve"> </t>
    </r>
  </si>
  <si>
    <r>
      <t>r</t>
    </r>
    <r>
      <rPr>
        <i/>
        <sz val="10"/>
        <rFont val="Arial"/>
        <family val="0"/>
      </rPr>
      <t xml:space="preserve"> pakai</t>
    </r>
  </si>
  <si>
    <r>
      <t>A</t>
    </r>
    <r>
      <rPr>
        <i/>
        <vertAlign val="subscript"/>
        <sz val="11"/>
        <rFont val="Arial"/>
        <family val="2"/>
      </rPr>
      <t>perlu</t>
    </r>
    <r>
      <rPr>
        <i/>
        <sz val="10"/>
        <rFont val="Arial"/>
        <family val="0"/>
      </rPr>
      <t>(mm2)</t>
    </r>
  </si>
  <si>
    <r>
      <t>* C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 xml:space="preserve"> (persegi) = 1</t>
    </r>
  </si>
  <si>
    <r>
      <t>* C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 xml:space="preserve"> (bulat) = 1.15</t>
    </r>
  </si>
  <si>
    <t>fc'</t>
  </si>
  <si>
    <t>P1</t>
  </si>
  <si>
    <t xml:space="preserve">Jumlah </t>
  </si>
  <si>
    <t>tiang</t>
  </si>
  <si>
    <t>Selimut beton</t>
  </si>
  <si>
    <t>Ht</t>
  </si>
  <si>
    <r>
      <t>b</t>
    </r>
    <r>
      <rPr>
        <sz val="10"/>
        <rFont val="Arial"/>
        <family val="0"/>
      </rPr>
      <t>c</t>
    </r>
  </si>
  <si>
    <t>Cek Geser Pons</t>
  </si>
  <si>
    <t>2*(bo+ho)*d</t>
  </si>
  <si>
    <t>Vc1</t>
  </si>
  <si>
    <t>N       ~</t>
  </si>
  <si>
    <t>Vc2</t>
  </si>
  <si>
    <t>Diambil yang terkecil  ---&gt; Vc</t>
  </si>
  <si>
    <t xml:space="preserve">Cek : </t>
  </si>
  <si>
    <t>Vc</t>
  </si>
  <si>
    <t>ALTERNATIVE 1</t>
  </si>
  <si>
    <t>Q pile cap  =</t>
  </si>
  <si>
    <t>2P</t>
  </si>
  <si>
    <t>L1  =</t>
  </si>
  <si>
    <t>L =</t>
  </si>
  <si>
    <t>ALTERNATIVE 2</t>
  </si>
  <si>
    <t>1P</t>
  </si>
  <si>
    <t>L2  =</t>
  </si>
  <si>
    <t>ALTERNATIVE 3</t>
  </si>
  <si>
    <t>3P</t>
  </si>
  <si>
    <t>L3  =</t>
  </si>
  <si>
    <t>ALTERNATIVE 4</t>
  </si>
  <si>
    <t>4P</t>
  </si>
  <si>
    <t>L4  =</t>
  </si>
  <si>
    <t>Pilih [1/2/3/4]</t>
  </si>
  <si>
    <t>Qpile cap = Ht x B x 2400</t>
  </si>
  <si>
    <t>kg/m</t>
  </si>
  <si>
    <t>&gt;</t>
  </si>
  <si>
    <t>dipakai</t>
  </si>
  <si>
    <t>As</t>
  </si>
  <si>
    <t>D19 - 175</t>
  </si>
  <si>
    <t>D10 - 175</t>
  </si>
  <si>
    <t>P2</t>
  </si>
  <si>
    <r>
      <t>b</t>
    </r>
    <r>
      <rPr>
        <vertAlign val="subscript"/>
        <sz val="10"/>
        <rFont val="Arial"/>
        <family val="2"/>
      </rPr>
      <t>klm</t>
    </r>
  </si>
  <si>
    <r>
      <t>h</t>
    </r>
    <r>
      <rPr>
        <vertAlign val="subscript"/>
        <sz val="10"/>
        <rFont val="Arial"/>
        <family val="2"/>
      </rPr>
      <t>klm</t>
    </r>
  </si>
  <si>
    <r>
      <t>bo = b</t>
    </r>
    <r>
      <rPr>
        <vertAlign val="subscript"/>
        <sz val="10"/>
        <rFont val="Arial"/>
        <family val="2"/>
      </rPr>
      <t>klm</t>
    </r>
    <r>
      <rPr>
        <sz val="10"/>
        <rFont val="Arial"/>
        <family val="0"/>
      </rPr>
      <t xml:space="preserve"> + 2*0.5*Ht</t>
    </r>
  </si>
  <si>
    <r>
      <t>ho = h</t>
    </r>
    <r>
      <rPr>
        <vertAlign val="subscript"/>
        <sz val="10"/>
        <rFont val="Arial"/>
        <family val="2"/>
      </rPr>
      <t>klm</t>
    </r>
    <r>
      <rPr>
        <sz val="10"/>
        <rFont val="Arial"/>
        <family val="0"/>
      </rPr>
      <t xml:space="preserve"> + 2*0.5*Ht</t>
    </r>
  </si>
  <si>
    <r>
      <t>(1+2/</t>
    </r>
    <r>
      <rPr>
        <sz val="10"/>
        <rFont val="Symbol"/>
        <family val="1"/>
      </rPr>
      <t>b</t>
    </r>
    <r>
      <rPr>
        <sz val="10"/>
        <rFont val="Arial"/>
        <family val="0"/>
      </rPr>
      <t>c) x (fc'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 xml:space="preserve"> /6) x A</t>
    </r>
  </si>
  <si>
    <r>
      <t>(fc'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 xml:space="preserve"> /3) x A</t>
    </r>
  </si>
  <si>
    <r>
      <t xml:space="preserve">P / </t>
    </r>
    <r>
      <rPr>
        <sz val="10"/>
        <rFont val="Symbol"/>
        <family val="1"/>
      </rPr>
      <t>f</t>
    </r>
  </si>
  <si>
    <r>
      <t xml:space="preserve">As </t>
    </r>
    <r>
      <rPr>
        <sz val="10"/>
        <rFont val="Arial"/>
        <family val="2"/>
      </rPr>
      <t>pembagi</t>
    </r>
  </si>
  <si>
    <t>- Tumpuan jepit-jepit</t>
  </si>
  <si>
    <t>d'</t>
  </si>
  <si>
    <t>L</t>
  </si>
  <si>
    <t>optred</t>
  </si>
  <si>
    <t>antrade</t>
  </si>
  <si>
    <t>derajat</t>
  </si>
  <si>
    <t>Beban terbagi rata</t>
  </si>
  <si>
    <t>- Beban merata</t>
  </si>
  <si>
    <t>q</t>
  </si>
  <si>
    <t>Mtangga</t>
  </si>
  <si>
    <t>Mbordes</t>
  </si>
  <si>
    <t>Penulangan tangga</t>
  </si>
  <si>
    <t>As (mm2)</t>
  </si>
  <si>
    <r>
      <t>Tulangan</t>
    </r>
    <r>
      <rPr>
        <sz val="10"/>
        <rFont val="Arial"/>
        <family val="0"/>
      </rPr>
      <t xml:space="preserve"> (tul tarik)</t>
    </r>
  </si>
  <si>
    <t>Tulangan (tul tekan</t>
  </si>
  <si>
    <t>D8 - 150</t>
  </si>
  <si>
    <t>Penulangan bordes</t>
  </si>
  <si>
    <t>(=lebar plat)</t>
  </si>
  <si>
    <t xml:space="preserve">Vu </t>
  </si>
  <si>
    <t>Lebar kolom</t>
  </si>
  <si>
    <t xml:space="preserve">Nuc </t>
  </si>
  <si>
    <t>Kesimpulan</t>
  </si>
  <si>
    <t>Tulangan tarik utama</t>
  </si>
  <si>
    <t>Tulangan rangka/sengkang tertutup</t>
  </si>
  <si>
    <t>by (arah memanjang)</t>
  </si>
  <si>
    <t>by =</t>
  </si>
  <si>
    <t>Ukuran plat landasan (mm)</t>
  </si>
  <si>
    <t>Vu</t>
  </si>
  <si>
    <t>N</t>
  </si>
  <si>
    <t>Nuc</t>
  </si>
  <si>
    <t>Perhitungan tulangan geser</t>
  </si>
  <si>
    <t>Vn1</t>
  </si>
  <si>
    <t>Vn2</t>
  </si>
  <si>
    <t>Vn</t>
  </si>
  <si>
    <t>----&gt;</t>
  </si>
  <si>
    <t>Perhitungan tulangan geser friksi (Avf)</t>
  </si>
  <si>
    <t>Avf</t>
  </si>
  <si>
    <t>Perhitungan tulangan pemikul Mu</t>
  </si>
  <si>
    <t>Nmm</t>
  </si>
  <si>
    <t>Af</t>
  </si>
  <si>
    <t>Perhitungan tulangan pemikul Nuc</t>
  </si>
  <si>
    <t>An</t>
  </si>
  <si>
    <t>Perhitungan tulangan tarik utama</t>
  </si>
  <si>
    <t>As dipilih terbesar antara :</t>
  </si>
  <si>
    <t>a. As1</t>
  </si>
  <si>
    <t>b. As2</t>
  </si>
  <si>
    <t>c. Asmin</t>
  </si>
  <si>
    <t>As max pakai</t>
  </si>
  <si>
    <t>by</t>
  </si>
  <si>
    <t>Tulangan sengkang tertutup (Ah)</t>
  </si>
  <si>
    <t>Ah</t>
  </si>
  <si>
    <t>4 D8</t>
  </si>
  <si>
    <t>Ukuran plat landasan</t>
  </si>
  <si>
    <t>A1</t>
  </si>
  <si>
    <t>bplat</t>
  </si>
  <si>
    <t>PONDASI TELAPAK</t>
  </si>
  <si>
    <t>Perhitungan moment untuk pondasi</t>
  </si>
  <si>
    <t>Balok sloof = 0,2.0,3.2400</t>
  </si>
  <si>
    <t>kg/m'</t>
  </si>
  <si>
    <t>Tembok = 2.250</t>
  </si>
  <si>
    <t>Kontrol Kekuatan Pondasi dengan Daya dukung tanah</t>
  </si>
  <si>
    <t>- Diasumsikan pondasi 1 x 1 m, kedalaman 2 m, diambill tegangan tanah rata-rata</t>
  </si>
  <si>
    <t xml:space="preserve">adalah sebagai berikut </t>
  </si>
  <si>
    <t>kg/cm2</t>
  </si>
  <si>
    <t>(data sonder, terlampir)</t>
  </si>
  <si>
    <t>Pu</t>
  </si>
  <si>
    <t>tpond</t>
  </si>
  <si>
    <t>kolom</t>
  </si>
  <si>
    <t>400 / 400</t>
  </si>
  <si>
    <t>kN</t>
  </si>
  <si>
    <t>kNm2</t>
  </si>
  <si>
    <t>bo</t>
  </si>
  <si>
    <t>kN/m2</t>
  </si>
  <si>
    <t>Penulangan lapangan</t>
  </si>
  <si>
    <t>D10 - 100</t>
  </si>
  <si>
    <r>
      <t xml:space="preserve">s </t>
    </r>
    <r>
      <rPr>
        <sz val="10"/>
        <rFont val="Arial"/>
        <family val="2"/>
      </rPr>
      <t>tanah</t>
    </r>
  </si>
  <si>
    <r>
      <t>b</t>
    </r>
    <r>
      <rPr>
        <sz val="10"/>
        <rFont val="Arial"/>
        <family val="2"/>
      </rPr>
      <t>c</t>
    </r>
  </si>
  <si>
    <r>
      <t xml:space="preserve">f  </t>
    </r>
    <r>
      <rPr>
        <sz val="10"/>
        <rFont val="Arial"/>
        <family val="2"/>
      </rPr>
      <t>Vmin</t>
    </r>
  </si>
  <si>
    <r>
      <t xml:space="preserve">f  </t>
    </r>
    <r>
      <rPr>
        <sz val="10"/>
        <rFont val="Arial"/>
        <family val="2"/>
      </rPr>
      <t>Vc</t>
    </r>
  </si>
  <si>
    <r>
      <t xml:space="preserve">f  </t>
    </r>
    <r>
      <rPr>
        <sz val="10"/>
        <rFont val="Arial"/>
        <family val="2"/>
      </rPr>
      <t>maks</t>
    </r>
  </si>
  <si>
    <r>
      <t xml:space="preserve">f  </t>
    </r>
    <r>
      <rPr>
        <sz val="10"/>
        <rFont val="Arial"/>
        <family val="2"/>
      </rPr>
      <t>min</t>
    </r>
  </si>
  <si>
    <t>DAYA DUKUNG TIANG PANCANG</t>
  </si>
  <si>
    <t>Dipakai :</t>
  </si>
  <si>
    <t>- diameter =</t>
  </si>
  <si>
    <t>- panjang  =</t>
  </si>
  <si>
    <t>- Luas penampang tiang  (A)</t>
  </si>
  <si>
    <t>cm2</t>
  </si>
  <si>
    <t>- Keliling tiang  (K)</t>
  </si>
  <si>
    <t>- Dari hasil test tanah , diperoleh :</t>
  </si>
  <si>
    <t xml:space="preserve">- Cn </t>
  </si>
  <si>
    <t xml:space="preserve">- JHP </t>
  </si>
  <si>
    <t>kg/cm</t>
  </si>
  <si>
    <t>- Daya dukung 1 bh pondasi Tiang :</t>
  </si>
  <si>
    <t>P  =</t>
  </si>
  <si>
    <t>A. Cn</t>
  </si>
  <si>
    <t>K. JHP</t>
  </si>
  <si>
    <t>ton</t>
  </si>
  <si>
    <t>EFFISIENSI TIANG PANCANG</t>
  </si>
  <si>
    <t>Eff  =</t>
  </si>
  <si>
    <t>1 -</t>
  </si>
  <si>
    <t>(n-1)m  +  (m-1) n</t>
  </si>
  <si>
    <t>m.n</t>
  </si>
  <si>
    <t>dimana :</t>
  </si>
  <si>
    <t>= arc tan d/s</t>
  </si>
  <si>
    <t>= jumlah baris arah x</t>
  </si>
  <si>
    <t>bh</t>
  </si>
  <si>
    <t>n</t>
  </si>
  <si>
    <t>= jumlah baris arah y</t>
  </si>
  <si>
    <t>= ukuran/diameter tiang pancang</t>
  </si>
  <si>
    <t>= jarak antara tiang pancang</t>
  </si>
  <si>
    <t xml:space="preserve"> =</t>
  </si>
  <si>
    <t>arc tan d/s</t>
  </si>
  <si>
    <t xml:space="preserve">arc tan </t>
  </si>
  <si>
    <t>o</t>
  </si>
  <si>
    <t>1  -</t>
  </si>
  <si>
    <t>[(</t>
  </si>
  <si>
    <t>-1</t>
  </si>
  <si>
    <t>) *</t>
  </si>
  <si>
    <t>]+ [(</t>
  </si>
  <si>
    <t>]</t>
  </si>
  <si>
    <t>*</t>
  </si>
  <si>
    <t>)</t>
  </si>
  <si>
    <r>
      <t>90</t>
    </r>
    <r>
      <rPr>
        <vertAlign val="superscript"/>
        <sz val="10"/>
        <rFont val="Arial"/>
        <family val="2"/>
      </rPr>
      <t>o</t>
    </r>
  </si>
  <si>
    <t>tulkol</t>
  </si>
  <si>
    <t>tblkol</t>
  </si>
  <si>
    <t>kode file</t>
  </si>
  <si>
    <t>Sxxx = Sipil</t>
  </si>
  <si>
    <t>Axxx = Arsitektur</t>
  </si>
  <si>
    <t>Pxxx = Pengawasan</t>
  </si>
  <si>
    <t>MExxx =  Mekanikel and Electrical</t>
  </si>
  <si>
    <t>BQxxx = Rab</t>
  </si>
  <si>
    <t xml:space="preserve">        S1xx = Administrasi</t>
  </si>
  <si>
    <t xml:space="preserve">        S2xx = Pek. Beton</t>
  </si>
  <si>
    <t xml:space="preserve">        S3xx = Pek. Baja</t>
  </si>
  <si>
    <t xml:space="preserve">        S4xx = Pek. Komposite</t>
  </si>
  <si>
    <t>Contoh Nama File</t>
  </si>
  <si>
    <t>Kode</t>
  </si>
  <si>
    <t>Menentukan eksentrisitas</t>
  </si>
  <si>
    <t>x(m)</t>
  </si>
  <si>
    <t>y(m)</t>
  </si>
  <si>
    <t>A-1(2)</t>
  </si>
  <si>
    <t>A-2(5)</t>
  </si>
  <si>
    <t>A-3(5)</t>
  </si>
  <si>
    <t>A-1(1)</t>
  </si>
  <si>
    <t>A-5(1)</t>
  </si>
  <si>
    <t>B-1(3)</t>
  </si>
  <si>
    <t>B-2(4)</t>
  </si>
  <si>
    <t>B-3(4)</t>
  </si>
  <si>
    <t>B-4(1)</t>
  </si>
  <si>
    <t>B-5(1)</t>
  </si>
  <si>
    <t>C-1(3)</t>
  </si>
  <si>
    <t>C-2(1)</t>
  </si>
  <si>
    <t>C-3(2)</t>
  </si>
  <si>
    <t>C-4(1)</t>
  </si>
  <si>
    <t>C-5(1)</t>
  </si>
  <si>
    <t>D-1(3)</t>
  </si>
  <si>
    <t>D-2(1)</t>
  </si>
  <si>
    <t>D-3(2)</t>
  </si>
  <si>
    <t>D-4(1)</t>
  </si>
  <si>
    <t>D-5(1)</t>
  </si>
  <si>
    <t>E-1(3)</t>
  </si>
  <si>
    <t>E-2(1)</t>
  </si>
  <si>
    <t>E-3(2)</t>
  </si>
  <si>
    <t>E-4(1)</t>
  </si>
  <si>
    <t>E-5(1)</t>
  </si>
  <si>
    <t>F-1(3)</t>
  </si>
  <si>
    <t>F-2(1)</t>
  </si>
  <si>
    <t>F-3(3)</t>
  </si>
  <si>
    <t>F-4(1)</t>
  </si>
  <si>
    <t>F-5(1)</t>
  </si>
  <si>
    <t>G-1(3)</t>
  </si>
  <si>
    <t>G-2(1)</t>
  </si>
  <si>
    <t>G-3(3)</t>
  </si>
  <si>
    <t>G-4(1)</t>
  </si>
  <si>
    <t>G-5(1)</t>
  </si>
  <si>
    <t>H-1(3)</t>
  </si>
  <si>
    <t>H-2(1)</t>
  </si>
  <si>
    <t>H-3(6)</t>
  </si>
  <si>
    <t>H-4(1)</t>
  </si>
  <si>
    <t>H-5(1)</t>
  </si>
  <si>
    <t>I-1(3)</t>
  </si>
  <si>
    <t>I-2(1)</t>
  </si>
  <si>
    <t>I-3(5)</t>
  </si>
  <si>
    <t>I-4(2)</t>
  </si>
  <si>
    <t>I-5(1)</t>
  </si>
  <si>
    <t>J-2(1)</t>
  </si>
  <si>
    <t>J-3(5)</t>
  </si>
  <si>
    <t>J-4(2)</t>
  </si>
  <si>
    <t>ex</t>
  </si>
  <si>
    <t>ey</t>
  </si>
  <si>
    <t>Menentukan qnetto</t>
  </si>
  <si>
    <t>L(m)</t>
  </si>
  <si>
    <t>B(m)</t>
  </si>
  <si>
    <t>A(m2)</t>
  </si>
  <si>
    <t>Ix(cm4)</t>
  </si>
  <si>
    <t>Iy(cm4)</t>
  </si>
  <si>
    <t>A2</t>
  </si>
  <si>
    <t>Ptot/A - (Ptot.ex)/Iy + (Ptot.ey)/Ix</t>
  </si>
  <si>
    <t>X</t>
  </si>
  <si>
    <t>Y</t>
  </si>
  <si>
    <t>Menentukan ukuran pelat pondasi</t>
  </si>
  <si>
    <t>Anggap tegangan tanah merata :</t>
  </si>
  <si>
    <t>Ptotal + berat pondasi</t>
  </si>
  <si>
    <t>luas pelat</t>
  </si>
  <si>
    <r>
      <t>S</t>
    </r>
    <r>
      <rPr>
        <i/>
        <u val="single"/>
        <sz val="10"/>
        <rFont val="Arial"/>
        <family val="2"/>
      </rPr>
      <t>P.x</t>
    </r>
  </si>
  <si>
    <r>
      <t>S</t>
    </r>
    <r>
      <rPr>
        <i/>
        <u val="single"/>
        <sz val="10"/>
        <rFont val="Arial"/>
        <family val="2"/>
      </rPr>
      <t>P.y</t>
    </r>
  </si>
  <si>
    <t>Pondasi Pelat</t>
  </si>
  <si>
    <t>BTN/SKSNI/TS/08-3</t>
  </si>
  <si>
    <t>pondplat</t>
  </si>
  <si>
    <t>Diagram Interaksi Kolom</t>
  </si>
  <si>
    <t>BTN/SKSNI/ALDO/05-2</t>
  </si>
  <si>
    <t>InteraksiKolom</t>
  </si>
  <si>
    <t>FC (Mpa)</t>
  </si>
  <si>
    <t>FY(Mpa)</t>
  </si>
  <si>
    <t>PERHITUNGAN DIAGRAM INTERAKSI KOLOM</t>
  </si>
  <si>
    <t>ρ</t>
  </si>
  <si>
    <t>fy</t>
  </si>
  <si>
    <t>f'c</t>
  </si>
  <si>
    <t>Dimensi b</t>
  </si>
  <si>
    <t>Dimensi h</t>
  </si>
  <si>
    <t>Ag</t>
  </si>
  <si>
    <t>Ast</t>
  </si>
  <si>
    <t>Ec</t>
  </si>
  <si>
    <t>As'</t>
  </si>
  <si>
    <t>As1</t>
  </si>
  <si>
    <t>Kondisi Tekan Konsentris :</t>
  </si>
  <si>
    <t>Po</t>
  </si>
  <si>
    <t>Pnmax</t>
  </si>
  <si>
    <t>Kondisi Balance :</t>
  </si>
  <si>
    <t>εy</t>
  </si>
  <si>
    <t>Cb</t>
  </si>
  <si>
    <t>ab</t>
  </si>
  <si>
    <t>Cek Tulangan (syarat εs' &gt;εy)</t>
  </si>
  <si>
    <t>εs'</t>
  </si>
  <si>
    <t>∑V=0</t>
  </si>
  <si>
    <t>Pnb</t>
  </si>
  <si>
    <t>∑M</t>
  </si>
  <si>
    <t>B</t>
  </si>
  <si>
    <t>C</t>
  </si>
  <si>
    <t>Pnb*e (KNm)</t>
  </si>
  <si>
    <t>e (mm)</t>
  </si>
  <si>
    <t>Momen Murni :</t>
  </si>
  <si>
    <t>Asumsi :</t>
  </si>
  <si>
    <t>Tul tekan</t>
  </si>
  <si>
    <t>εs&lt;εy</t>
  </si>
  <si>
    <t>Tul tarik</t>
  </si>
  <si>
    <t>εs&gt;εy</t>
  </si>
  <si>
    <t>cc= 0.85*f'c*β*c*b</t>
  </si>
  <si>
    <t>Ts2 =As*fs'</t>
  </si>
  <si>
    <t>(c-d')/c</t>
  </si>
  <si>
    <t>(c-49.5)/c</t>
  </si>
  <si>
    <t>Ts1=As1*fy</t>
  </si>
  <si>
    <t>Persamaan :</t>
  </si>
  <si>
    <t xml:space="preserve">A c^2 +B c + C </t>
  </si>
  <si>
    <t>c</t>
  </si>
  <si>
    <t>Kontrol Asumsi</t>
  </si>
  <si>
    <t>εs</t>
  </si>
  <si>
    <t>Perhitungan Mn</t>
  </si>
  <si>
    <t>cc*(d-a/2)</t>
  </si>
  <si>
    <t>Ts2(d-d')</t>
  </si>
  <si>
    <t>Mn</t>
  </si>
  <si>
    <t>Data Data Diagram</t>
  </si>
  <si>
    <t>Mnb</t>
  </si>
  <si>
    <t>K1a</t>
  </si>
  <si>
    <t>K2</t>
  </si>
  <si>
    <t>K3</t>
  </si>
  <si>
    <t>K4</t>
  </si>
  <si>
    <t>K5</t>
  </si>
  <si>
    <t>Perencanaan Tulangan</t>
  </si>
  <si>
    <r>
      <t>Mu</t>
    </r>
    <r>
      <rPr>
        <sz val="10"/>
        <rFont val="Arial"/>
        <family val="0"/>
      </rPr>
      <t xml:space="preserve"> (kNm)</t>
    </r>
  </si>
  <si>
    <t>Ø use</t>
  </si>
  <si>
    <t>ρ pakai</t>
  </si>
  <si>
    <t>6 d13</t>
  </si>
  <si>
    <t>12 D19</t>
  </si>
  <si>
    <t>5 D13</t>
  </si>
  <si>
    <t>6 d12</t>
  </si>
  <si>
    <t>atau</t>
  </si>
  <si>
    <t>Dipasang tul utama</t>
  </si>
  <si>
    <t>2 D13</t>
  </si>
  <si>
    <t>4 D12</t>
  </si>
  <si>
    <t>Dipasang tul ekstra</t>
  </si>
  <si>
    <t>6 D10</t>
  </si>
  <si>
    <t>4 D10</t>
  </si>
  <si>
    <t>3 D13</t>
  </si>
  <si>
    <t>Atot pakai (mm2)</t>
  </si>
  <si>
    <r>
      <t>Pu/</t>
    </r>
    <r>
      <rPr>
        <sz val="10"/>
        <rFont val="Symbol"/>
        <family val="1"/>
      </rPr>
      <t xml:space="preserve">f </t>
    </r>
    <r>
      <rPr>
        <sz val="10"/>
        <rFont val="Arial"/>
        <family val="0"/>
      </rPr>
      <t>(kN)</t>
    </r>
  </si>
  <si>
    <r>
      <t>Ag 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</si>
  <si>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Pu/(0,85*f'c*Ag*</t>
    </r>
    <r>
      <rPr>
        <sz val="10"/>
        <rFont val="Arial"/>
        <family val="2"/>
      </rPr>
      <t>Ø)</t>
    </r>
  </si>
  <si>
    <r>
      <t>Pu/(0,85*f'c*Ag*</t>
    </r>
    <r>
      <rPr>
        <sz val="10"/>
        <rFont val="Arial"/>
        <family val="2"/>
      </rPr>
      <t>Ø)  x (e/h)</t>
    </r>
  </si>
  <si>
    <t xml:space="preserve">- Balok diambil bentang yang terpanjang </t>
  </si>
  <si>
    <t>beban plafond</t>
  </si>
  <si>
    <t>beban penggantung</t>
  </si>
  <si>
    <t>beban AC + pipa</t>
  </si>
  <si>
    <t>Gambar Rencana</t>
  </si>
  <si>
    <t>plafond</t>
  </si>
  <si>
    <t>penggantung</t>
  </si>
  <si>
    <t>AC + pipa</t>
  </si>
  <si>
    <t>air hujan</t>
  </si>
  <si>
    <t>D12 - 175</t>
  </si>
  <si>
    <t>D8 - 200</t>
  </si>
  <si>
    <t>Gambar Penulangan</t>
  </si>
  <si>
    <r>
      <t xml:space="preserve">- Beban terpusat plat anak tangga tengah </t>
    </r>
    <r>
      <rPr>
        <b/>
        <sz val="10"/>
        <rFont val="Arial"/>
        <family val="2"/>
      </rPr>
      <t>200 x 100</t>
    </r>
    <r>
      <rPr>
        <sz val="10"/>
        <rFont val="Arial"/>
        <family val="2"/>
      </rPr>
      <t xml:space="preserve"> cm (bordes)</t>
    </r>
  </si>
  <si>
    <t>tanggaatasbawah</t>
  </si>
</sst>
</file>

<file path=xl/styles.xml><?xml version="1.0" encoding="utf-8"?>
<styleSheet xmlns="http://schemas.openxmlformats.org/spreadsheetml/2006/main">
  <numFmts count="6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0"/>
    <numFmt numFmtId="172" formatCode="0.000"/>
    <numFmt numFmtId="173" formatCode="mm/dd/yy"/>
    <numFmt numFmtId="174" formatCode="#,##0;\-#,##0;&quot;-&quot;"/>
    <numFmt numFmtId="175" formatCode=".0%_);\(.0%\)"/>
    <numFmt numFmtId="176" formatCode="_(* #,##0.00000_);_(* \(#,##0.00000\);_(* &quot;-&quot;??_);_(@_)"/>
    <numFmt numFmtId="177" formatCode="_(* #,##0_);_(* \(#,##0\);_(* &quot;-&quot;??_);_(@_)"/>
    <numFmt numFmtId="178" formatCode="d\-mmm\-yyyy"/>
    <numFmt numFmtId="179" formatCode="_(* #,##0.000_);_(* \(#,##0.000\);_(* &quot;-&quot;??_);_(@_)"/>
    <numFmt numFmtId="180" formatCode="_(* #,##0.0_);_(* \(#,##0.0\);_(* &quot;-&quot;??_);_(@_)"/>
    <numFmt numFmtId="181" formatCode="_(* #,##0.00_);_(* \(#,##0.00\);_(* &quot;-&quot;_);_(@_)"/>
    <numFmt numFmtId="182" formatCode="_(* #,##0.0_);_(* \(#,##0.0\);_(* &quot;-&quot;?_);_(@_)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409]h:mm:ss\ AM/PM"/>
    <numFmt numFmtId="190" formatCode="0.00000"/>
    <numFmt numFmtId="191" formatCode="0.000000"/>
    <numFmt numFmtId="192" formatCode="General_)"/>
    <numFmt numFmtId="193" formatCode="0.00_)"/>
    <numFmt numFmtId="194" formatCode="0.000_)"/>
    <numFmt numFmtId="195" formatCode="0.00000000"/>
    <numFmt numFmtId="196" formatCode="0.0000000"/>
    <numFmt numFmtId="197" formatCode="0.E+00"/>
    <numFmt numFmtId="198" formatCode="0.0_)"/>
    <numFmt numFmtId="199" formatCode="0_)"/>
    <numFmt numFmtId="200" formatCode="0.0000_)"/>
    <numFmt numFmtId="201" formatCode="0.0000E+00;\ĝ"/>
    <numFmt numFmtId="202" formatCode="0.0000E+00;\ᏸ"/>
    <numFmt numFmtId="203" formatCode="0.000E+00;\ᏸ"/>
    <numFmt numFmtId="204" formatCode="0.00E+00;\ᏸ"/>
    <numFmt numFmtId="205" formatCode="0.0E+00;\ᏸ"/>
    <numFmt numFmtId="206" formatCode="0E+00;\ᏸ"/>
    <numFmt numFmtId="207" formatCode="0.000000000"/>
    <numFmt numFmtId="208" formatCode="0.0000000000"/>
    <numFmt numFmtId="209" formatCode="0.00;[Red]0.00"/>
    <numFmt numFmtId="210" formatCode="0.000;[Red]0.000"/>
    <numFmt numFmtId="211" formatCode="0.0000;[Red]0.0000"/>
    <numFmt numFmtId="212" formatCode="0.00000;[Red]0.00000"/>
    <numFmt numFmtId="213" formatCode="_(* #,##0.0_);_(* \(#,##0.0\);_(* &quot;-&quot;_);_(@_)"/>
    <numFmt numFmtId="214" formatCode="#,##0.0_);\(#,##0.0\)"/>
    <numFmt numFmtId="215" formatCode="#,##0.000"/>
    <numFmt numFmtId="216" formatCode="#,##0.0000"/>
    <numFmt numFmtId="217" formatCode="0.0%"/>
    <numFmt numFmtId="218" formatCode="0.000E+00"/>
    <numFmt numFmtId="219" formatCode="_(* #,##0.0000_);_(* \(#,##0.0000\);_(* &quot;-&quot;??_);_(@_)"/>
    <numFmt numFmtId="220" formatCode="_(* #,##0.000000_);_(* \(#,##0.000000\);_(* &quot;-&quot;??_);_(@_)"/>
    <numFmt numFmtId="221" formatCode="_(* #,##0.0000_);_(* \(#,##0.0000\);_(* &quot;-&quot;????_);_(@_)"/>
    <numFmt numFmtId="222" formatCode="_(* #,##0.000_);_(* \(#,##0.000\);_(* &quot;-&quot;???_);_(@_)"/>
  </numFmts>
  <fonts count="86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0"/>
    </font>
    <font>
      <sz val="10"/>
      <color indexed="16"/>
      <name val="MS Serif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i/>
      <u val="single"/>
      <sz val="10"/>
      <name val="Arial"/>
      <family val="2"/>
    </font>
    <font>
      <u val="single"/>
      <sz val="11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i/>
      <vertAlign val="subscript"/>
      <sz val="10"/>
      <name val="Arial"/>
      <family val="2"/>
    </font>
    <font>
      <b/>
      <u val="single"/>
      <sz val="12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vertAlign val="subscript"/>
      <sz val="12"/>
      <name val="Arial"/>
      <family val="2"/>
    </font>
    <font>
      <i/>
      <sz val="10"/>
      <name val="Symbol"/>
      <family val="1"/>
    </font>
    <font>
      <i/>
      <vertAlign val="subscript"/>
      <sz val="11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 Black"/>
      <family val="2"/>
    </font>
    <font>
      <sz val="16"/>
      <name val="Arial"/>
      <family val="2"/>
    </font>
    <font>
      <i/>
      <u val="single"/>
      <sz val="10"/>
      <name val="Symbol"/>
      <family val="1"/>
    </font>
    <font>
      <b/>
      <sz val="18"/>
      <name val="Arial"/>
      <family val="2"/>
    </font>
    <font>
      <sz val="10"/>
      <color indexed="22"/>
      <name val="Arial"/>
      <family val="0"/>
    </font>
    <font>
      <i/>
      <u val="single"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2.5"/>
      <color indexed="8"/>
      <name val="Arial Narrow"/>
      <family val="0"/>
    </font>
    <font>
      <sz val="15"/>
      <color indexed="8"/>
      <name val="Arial Narrow"/>
      <family val="0"/>
    </font>
    <font>
      <b/>
      <sz val="15"/>
      <color indexed="8"/>
      <name val="Arial Narrow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DashDot">
        <color indexed="22"/>
      </top>
      <bottom>
        <color indexed="63"/>
      </bottom>
    </border>
    <border>
      <left style="mediumDashDot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>
        <color indexed="22"/>
      </bottom>
    </border>
    <border>
      <left>
        <color indexed="63"/>
      </left>
      <right>
        <color indexed="63"/>
      </right>
      <top style="dashDotDot">
        <color indexed="22"/>
      </top>
      <bottom>
        <color indexed="63"/>
      </bottom>
    </border>
    <border>
      <left style="dashDot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>
        <color indexed="2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2" fillId="0" borderId="0" applyNumberFormat="0" applyFill="0" applyBorder="0" applyAlignment="0" applyProtection="0"/>
    <xf numFmtId="174" fontId="3" fillId="0" borderId="0" applyFill="0" applyBorder="0" applyAlignment="0">
      <protection/>
    </xf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Alignment="0"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Alignment="0">
      <protection/>
    </xf>
    <xf numFmtId="0" fontId="7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29" borderId="0" applyNumberFormat="0" applyBorder="0" applyAlignment="0" applyProtection="0"/>
    <xf numFmtId="38" fontId="1" fillId="3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9" fillId="31" borderId="1" applyNumberFormat="0" applyAlignment="0" applyProtection="0"/>
    <xf numFmtId="10" fontId="1" fillId="32" borderId="8" applyNumberFormat="0" applyBorder="0" applyAlignment="0" applyProtection="0"/>
    <xf numFmtId="0" fontId="80" fillId="0" borderId="9" applyNumberFormat="0" applyFill="0" applyAlignment="0" applyProtection="0"/>
    <xf numFmtId="0" fontId="81" fillId="33" borderId="0" applyNumberFormat="0" applyBorder="0" applyAlignment="0" applyProtection="0"/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0" fillId="0" borderId="0">
      <alignment/>
      <protection/>
    </xf>
    <xf numFmtId="0" fontId="0" fillId="34" borderId="10" applyNumberFormat="0" applyFont="0" applyAlignment="0" applyProtection="0"/>
    <xf numFmtId="0" fontId="82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3" fontId="9" fillId="0" borderId="0" applyNumberFormat="0" applyFill="0" applyBorder="0" applyAlignment="0" applyProtection="0"/>
    <xf numFmtId="40" fontId="10" fillId="0" borderId="0" applyBorder="0">
      <alignment horizontal="right"/>
      <protection/>
    </xf>
    <xf numFmtId="0" fontId="83" fillId="0" borderId="0" applyNumberFormat="0" applyFill="0" applyBorder="0" applyAlignment="0" applyProtection="0"/>
    <xf numFmtId="0" fontId="84" fillId="0" borderId="12" applyNumberFormat="0" applyFill="0" applyAlignment="0" applyProtection="0"/>
    <xf numFmtId="0" fontId="85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8" xfId="0" applyFont="1" applyBorder="1" applyAlignment="1">
      <alignment horizontal="center"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60" applyFont="1" applyAlignment="1" applyProtection="1">
      <alignment/>
      <protection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Border="1" applyAlignment="1">
      <alignment horizontal="left"/>
    </xf>
    <xf numFmtId="171" fontId="0" fillId="0" borderId="0" xfId="0" applyNumberFormat="1" applyAlignment="1">
      <alignment/>
    </xf>
    <xf numFmtId="0" fontId="21" fillId="0" borderId="0" xfId="0" applyFont="1" applyAlignment="1">
      <alignment/>
    </xf>
    <xf numFmtId="2" fontId="0" fillId="0" borderId="13" xfId="0" applyNumberFormat="1" applyBorder="1" applyAlignment="1">
      <alignment horizontal="center"/>
    </xf>
    <xf numFmtId="171" fontId="13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2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0" fillId="0" borderId="0" xfId="44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43" fontId="0" fillId="0" borderId="0" xfId="0" applyNumberFormat="1" applyBorder="1" applyAlignment="1">
      <alignment horizontal="center"/>
    </xf>
    <xf numFmtId="41" fontId="0" fillId="0" borderId="13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1" fontId="0" fillId="0" borderId="19" xfId="0" applyNumberFormat="1" applyBorder="1" applyAlignment="1">
      <alignment/>
    </xf>
    <xf numFmtId="2" fontId="0" fillId="0" borderId="0" xfId="68" applyBorder="1" applyAlignment="1">
      <alignment horizontal="center"/>
      <protection/>
    </xf>
    <xf numFmtId="0" fontId="0" fillId="0" borderId="0" xfId="66" applyAlignment="1">
      <alignment horizontal="center"/>
      <protection/>
    </xf>
    <xf numFmtId="0" fontId="0" fillId="0" borderId="19" xfId="0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right"/>
    </xf>
    <xf numFmtId="182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 quotePrefix="1">
      <alignment horizontal="right"/>
    </xf>
    <xf numFmtId="176" fontId="0" fillId="0" borderId="0" xfId="44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 quotePrefix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3" fontId="0" fillId="0" borderId="0" xfId="44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32" xfId="44" applyNumberFormat="1" applyBorder="1" applyAlignment="1">
      <alignment/>
    </xf>
    <xf numFmtId="1" fontId="0" fillId="0" borderId="33" xfId="44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" fontId="0" fillId="0" borderId="8" xfId="44" applyNumberFormat="1" applyBorder="1" applyAlignment="1">
      <alignment/>
    </xf>
    <xf numFmtId="1" fontId="0" fillId="0" borderId="36" xfId="44" applyNumberFormat="1" applyBorder="1" applyAlignment="1">
      <alignment/>
    </xf>
    <xf numFmtId="0" fontId="0" fillId="0" borderId="8" xfId="0" applyBorder="1" applyAlignment="1">
      <alignment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41" fontId="0" fillId="0" borderId="8" xfId="44" applyNumberFormat="1" applyBorder="1" applyAlignment="1">
      <alignment/>
    </xf>
    <xf numFmtId="41" fontId="0" fillId="0" borderId="36" xfId="44" applyNumberFormat="1" applyBorder="1" applyAlignment="1">
      <alignment/>
    </xf>
    <xf numFmtId="43" fontId="0" fillId="0" borderId="8" xfId="0" applyNumberFormat="1" applyBorder="1" applyAlignment="1">
      <alignment vertical="center"/>
    </xf>
    <xf numFmtId="43" fontId="0" fillId="0" borderId="36" xfId="0" applyNumberFormat="1" applyBorder="1" applyAlignment="1">
      <alignment vertical="center"/>
    </xf>
    <xf numFmtId="0" fontId="0" fillId="0" borderId="0" xfId="66" applyAlignment="1">
      <alignment horizontal="right"/>
      <protection/>
    </xf>
    <xf numFmtId="43" fontId="0" fillId="0" borderId="37" xfId="0" applyNumberFormat="1" applyBorder="1" applyAlignment="1">
      <alignment vertical="center"/>
    </xf>
    <xf numFmtId="43" fontId="0" fillId="0" borderId="8" xfId="0" applyNumberFormat="1" applyFont="1" applyBorder="1" applyAlignment="1">
      <alignment/>
    </xf>
    <xf numFmtId="43" fontId="0" fillId="0" borderId="36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43" fontId="0" fillId="0" borderId="17" xfId="0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2" fontId="0" fillId="0" borderId="8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0" fillId="0" borderId="33" xfId="0" applyNumberFormat="1" applyBorder="1" applyAlignment="1">
      <alignment vertical="center"/>
    </xf>
    <xf numFmtId="1" fontId="31" fillId="0" borderId="8" xfId="0" applyNumberFormat="1" applyFont="1" applyBorder="1" applyAlignment="1">
      <alignment vertical="center"/>
    </xf>
    <xf numFmtId="1" fontId="31" fillId="0" borderId="36" xfId="0" applyNumberFormat="1" applyFont="1" applyBorder="1" applyAlignment="1">
      <alignment vertical="center"/>
    </xf>
    <xf numFmtId="2" fontId="0" fillId="0" borderId="8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79" fontId="0" fillId="0" borderId="8" xfId="44" applyNumberFormat="1" applyBorder="1" applyAlignment="1">
      <alignment/>
    </xf>
    <xf numFmtId="179" fontId="0" fillId="0" borderId="36" xfId="44" applyNumberFormat="1" applyBorder="1" applyAlignment="1">
      <alignment/>
    </xf>
    <xf numFmtId="43" fontId="0" fillId="0" borderId="8" xfId="0" applyNumberFormat="1" applyBorder="1" applyAlignment="1">
      <alignment/>
    </xf>
    <xf numFmtId="43" fontId="0" fillId="0" borderId="36" xfId="0" applyNumberFormat="1" applyBorder="1" applyAlignment="1">
      <alignment/>
    </xf>
    <xf numFmtId="183" fontId="0" fillId="0" borderId="8" xfId="44" applyNumberFormat="1" applyBorder="1" applyAlignment="1">
      <alignment/>
    </xf>
    <xf numFmtId="183" fontId="0" fillId="0" borderId="36" xfId="44" applyNumberForma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41" fontId="0" fillId="0" borderId="8" xfId="0" applyNumberFormat="1" applyBorder="1" applyAlignment="1">
      <alignment/>
    </xf>
    <xf numFmtId="41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43" fontId="0" fillId="0" borderId="8" xfId="44" applyBorder="1" applyAlignment="1">
      <alignment/>
    </xf>
    <xf numFmtId="43" fontId="0" fillId="0" borderId="36" xfId="44" applyBorder="1" applyAlignment="1">
      <alignment/>
    </xf>
    <xf numFmtId="0" fontId="37" fillId="0" borderId="34" xfId="0" applyFont="1" applyBorder="1" applyAlignment="1">
      <alignment/>
    </xf>
    <xf numFmtId="0" fontId="37" fillId="0" borderId="35" xfId="0" applyFont="1" applyBorder="1" applyAlignment="1">
      <alignment/>
    </xf>
    <xf numFmtId="171" fontId="0" fillId="0" borderId="8" xfId="44" applyNumberFormat="1" applyBorder="1" applyAlignment="1">
      <alignment/>
    </xf>
    <xf numFmtId="171" fontId="0" fillId="0" borderId="36" xfId="44" applyNumberFormat="1" applyBorder="1" applyAlignment="1">
      <alignment/>
    </xf>
    <xf numFmtId="171" fontId="0" fillId="0" borderId="8" xfId="44" applyNumberFormat="1" applyFont="1" applyBorder="1" applyAlignment="1">
      <alignment/>
    </xf>
    <xf numFmtId="171" fontId="0" fillId="0" borderId="37" xfId="44" applyNumberFormat="1" applyFont="1" applyBorder="1" applyAlignment="1">
      <alignment/>
    </xf>
    <xf numFmtId="41" fontId="0" fillId="0" borderId="8" xfId="44" applyNumberFormat="1" applyBorder="1" applyAlignment="1">
      <alignment vertical="center"/>
    </xf>
    <xf numFmtId="41" fontId="0" fillId="0" borderId="37" xfId="44" applyNumberFormat="1" applyBorder="1" applyAlignment="1">
      <alignment vertical="center"/>
    </xf>
    <xf numFmtId="0" fontId="12" fillId="0" borderId="8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" fontId="13" fillId="0" borderId="8" xfId="0" applyNumberFormat="1" applyFont="1" applyFill="1" applyBorder="1" applyAlignment="1">
      <alignment horizontal="center"/>
    </xf>
    <xf numFmtId="1" fontId="13" fillId="0" borderId="37" xfId="0" applyNumberFormat="1" applyFont="1" applyFill="1" applyBorder="1" applyAlignment="1">
      <alignment horizontal="center"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1" fontId="13" fillId="0" borderId="40" xfId="0" applyNumberFormat="1" applyFont="1" applyBorder="1" applyAlignment="1">
      <alignment horizontal="center"/>
    </xf>
    <xf numFmtId="1" fontId="13" fillId="0" borderId="41" xfId="0" applyNumberFormat="1" applyFont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1" fontId="13" fillId="0" borderId="42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0" xfId="0" applyFont="1" applyAlignment="1">
      <alignment/>
    </xf>
    <xf numFmtId="0" fontId="0" fillId="0" borderId="0" xfId="67" applyBorder="1">
      <alignment/>
      <protection/>
    </xf>
    <xf numFmtId="0" fontId="0" fillId="0" borderId="0" xfId="67">
      <alignment/>
      <protection/>
    </xf>
    <xf numFmtId="0" fontId="11" fillId="0" borderId="0" xfId="67" applyFont="1" applyBorder="1" applyAlignment="1" quotePrefix="1">
      <alignment horizontal="left"/>
      <protection/>
    </xf>
    <xf numFmtId="0" fontId="14" fillId="0" borderId="0" xfId="67" applyFont="1">
      <alignment/>
      <protection/>
    </xf>
    <xf numFmtId="0" fontId="18" fillId="0" borderId="0" xfId="67" applyFont="1">
      <alignment/>
      <protection/>
    </xf>
    <xf numFmtId="0" fontId="23" fillId="0" borderId="0" xfId="67" applyFont="1" applyBorder="1">
      <alignment/>
      <protection/>
    </xf>
    <xf numFmtId="0" fontId="17" fillId="0" borderId="0" xfId="67" applyFont="1">
      <alignment/>
      <protection/>
    </xf>
    <xf numFmtId="0" fontId="24" fillId="0" borderId="0" xfId="67" applyFont="1" applyBorder="1" applyAlignment="1">
      <alignment horizontal="left"/>
      <protection/>
    </xf>
    <xf numFmtId="0" fontId="15" fillId="0" borderId="0" xfId="67" applyFont="1">
      <alignment/>
      <protection/>
    </xf>
    <xf numFmtId="0" fontId="22" fillId="0" borderId="0" xfId="67" applyFont="1">
      <alignment/>
      <protection/>
    </xf>
    <xf numFmtId="0" fontId="0" fillId="0" borderId="0" xfId="67" quotePrefix="1">
      <alignment/>
      <protection/>
    </xf>
    <xf numFmtId="0" fontId="0" fillId="0" borderId="0" xfId="67" applyFont="1">
      <alignment/>
      <protection/>
    </xf>
    <xf numFmtId="0" fontId="0" fillId="0" borderId="8" xfId="67" applyBorder="1">
      <alignment/>
      <protection/>
    </xf>
    <xf numFmtId="1" fontId="0" fillId="0" borderId="8" xfId="67" applyNumberFormat="1" applyBorder="1">
      <alignment/>
      <protection/>
    </xf>
    <xf numFmtId="0" fontId="21" fillId="0" borderId="0" xfId="67" applyFont="1">
      <alignment/>
      <protection/>
    </xf>
    <xf numFmtId="0" fontId="0" fillId="0" borderId="0" xfId="67" applyFont="1">
      <alignment/>
      <protection/>
    </xf>
    <xf numFmtId="0" fontId="0" fillId="0" borderId="0" xfId="67" applyFont="1" applyAlignment="1">
      <alignment horizontal="center"/>
      <protection/>
    </xf>
    <xf numFmtId="0" fontId="0" fillId="0" borderId="0" xfId="67" applyAlignment="1">
      <alignment horizontal="center"/>
      <protection/>
    </xf>
    <xf numFmtId="1" fontId="0" fillId="0" borderId="0" xfId="67" applyNumberFormat="1">
      <alignment/>
      <protection/>
    </xf>
    <xf numFmtId="1" fontId="0" fillId="0" borderId="0" xfId="67" applyNumberFormat="1" applyAlignment="1">
      <alignment horizontal="center"/>
      <protection/>
    </xf>
    <xf numFmtId="2" fontId="25" fillId="0" borderId="0" xfId="68" applyFont="1">
      <alignment/>
      <protection/>
    </xf>
    <xf numFmtId="2" fontId="22" fillId="0" borderId="0" xfId="68" applyFont="1">
      <alignment/>
      <protection/>
    </xf>
    <xf numFmtId="2" fontId="0" fillId="0" borderId="0" xfId="68">
      <alignment/>
      <protection/>
    </xf>
    <xf numFmtId="2" fontId="26" fillId="0" borderId="0" xfId="68" applyFont="1">
      <alignment/>
      <protection/>
    </xf>
    <xf numFmtId="2" fontId="0" fillId="0" borderId="0" xfId="68" applyAlignment="1">
      <alignment horizontal="left"/>
      <protection/>
    </xf>
    <xf numFmtId="2" fontId="0" fillId="0" borderId="8" xfId="68" applyBorder="1">
      <alignment/>
      <protection/>
    </xf>
    <xf numFmtId="2" fontId="0" fillId="0" borderId="0" xfId="68" applyFont="1" applyAlignment="1">
      <alignment horizontal="left"/>
      <protection/>
    </xf>
    <xf numFmtId="1" fontId="0" fillId="0" borderId="0" xfId="68" applyNumberFormat="1" applyBorder="1">
      <alignment/>
      <protection/>
    </xf>
    <xf numFmtId="1" fontId="0" fillId="0" borderId="0" xfId="68" applyNumberFormat="1" applyFont="1" applyBorder="1">
      <alignment/>
      <protection/>
    </xf>
    <xf numFmtId="2" fontId="0" fillId="0" borderId="0" xfId="68" applyBorder="1" applyAlignment="1">
      <alignment horizontal="left"/>
      <protection/>
    </xf>
    <xf numFmtId="1" fontId="0" fillId="0" borderId="19" xfId="68" applyNumberFormat="1" applyBorder="1">
      <alignment/>
      <protection/>
    </xf>
    <xf numFmtId="1" fontId="0" fillId="0" borderId="0" xfId="68" applyNumberFormat="1">
      <alignment/>
      <protection/>
    </xf>
    <xf numFmtId="2" fontId="0" fillId="0" borderId="0" xfId="68" applyFont="1" applyAlignment="1">
      <alignment horizontal="center"/>
      <protection/>
    </xf>
    <xf numFmtId="2" fontId="0" fillId="0" borderId="0" xfId="68" applyFont="1">
      <alignment/>
      <protection/>
    </xf>
    <xf numFmtId="2" fontId="13" fillId="0" borderId="0" xfId="68" applyFont="1">
      <alignment/>
      <protection/>
    </xf>
    <xf numFmtId="2" fontId="0" fillId="0" borderId="0" xfId="68" applyBorder="1">
      <alignment/>
      <protection/>
    </xf>
    <xf numFmtId="2" fontId="0" fillId="0" borderId="0" xfId="68" applyAlignment="1">
      <alignment horizontal="right"/>
      <protection/>
    </xf>
    <xf numFmtId="1" fontId="0" fillId="0" borderId="0" xfId="68" applyNumberFormat="1" applyAlignment="1">
      <alignment horizontal="center"/>
      <protection/>
    </xf>
    <xf numFmtId="2" fontId="29" fillId="0" borderId="0" xfId="68" applyFont="1">
      <alignment/>
      <protection/>
    </xf>
    <xf numFmtId="1" fontId="29" fillId="0" borderId="0" xfId="68" applyNumberFormat="1" applyFont="1">
      <alignment/>
      <protection/>
    </xf>
    <xf numFmtId="2" fontId="29" fillId="0" borderId="0" xfId="68" applyFont="1" applyFill="1" applyBorder="1">
      <alignment/>
      <protection/>
    </xf>
    <xf numFmtId="2" fontId="0" fillId="0" borderId="0" xfId="68" applyFont="1">
      <alignment/>
      <protection/>
    </xf>
    <xf numFmtId="1" fontId="0" fillId="0" borderId="0" xfId="68" applyNumberFormat="1" applyFont="1">
      <alignment/>
      <protection/>
    </xf>
    <xf numFmtId="1" fontId="16" fillId="0" borderId="0" xfId="68" applyNumberFormat="1" applyFont="1">
      <alignment/>
      <protection/>
    </xf>
    <xf numFmtId="2" fontId="0" fillId="0" borderId="0" xfId="68" applyAlignment="1">
      <alignment horizontal="center"/>
      <protection/>
    </xf>
    <xf numFmtId="2" fontId="16" fillId="0" borderId="0" xfId="68" applyFont="1">
      <alignment/>
      <protection/>
    </xf>
    <xf numFmtId="1" fontId="40" fillId="0" borderId="0" xfId="68" applyNumberFormat="1" applyFont="1">
      <alignment/>
      <protection/>
    </xf>
    <xf numFmtId="2" fontId="0" fillId="0" borderId="0" xfId="68" applyFont="1" applyFill="1" applyBorder="1" applyAlignment="1">
      <alignment horizontal="center"/>
      <protection/>
    </xf>
    <xf numFmtId="171" fontId="0" fillId="0" borderId="0" xfId="68" applyNumberFormat="1">
      <alignment/>
      <protection/>
    </xf>
    <xf numFmtId="2" fontId="0" fillId="0" borderId="0" xfId="68" applyNumberFormat="1">
      <alignment/>
      <protection/>
    </xf>
    <xf numFmtId="2" fontId="21" fillId="0" borderId="0" xfId="68" applyFont="1">
      <alignment/>
      <protection/>
    </xf>
    <xf numFmtId="2" fontId="0" fillId="0" borderId="13" xfId="68" applyBorder="1" applyAlignment="1">
      <alignment horizontal="center"/>
      <protection/>
    </xf>
    <xf numFmtId="171" fontId="13" fillId="0" borderId="0" xfId="68" applyNumberFormat="1" applyFont="1">
      <alignment/>
      <protection/>
    </xf>
    <xf numFmtId="2" fontId="12" fillId="0" borderId="0" xfId="68" applyNumberFormat="1" applyFont="1">
      <alignment/>
      <protection/>
    </xf>
    <xf numFmtId="2" fontId="12" fillId="0" borderId="0" xfId="68" applyFont="1" applyAlignment="1">
      <alignment horizontal="center"/>
      <protection/>
    </xf>
    <xf numFmtId="2" fontId="12" fillId="0" borderId="0" xfId="68" applyFont="1">
      <alignment/>
      <protection/>
    </xf>
    <xf numFmtId="10" fontId="12" fillId="0" borderId="0" xfId="68" applyNumberFormat="1" applyFont="1" applyAlignment="1">
      <alignment horizontal="center"/>
      <protection/>
    </xf>
    <xf numFmtId="2" fontId="0" fillId="0" borderId="0" xfId="68" applyNumberFormat="1" applyAlignment="1">
      <alignment horizontal="center"/>
      <protection/>
    </xf>
    <xf numFmtId="2" fontId="0" fillId="0" borderId="8" xfId="68" applyFont="1" applyBorder="1" applyAlignment="1">
      <alignment horizontal="center"/>
      <protection/>
    </xf>
    <xf numFmtId="0" fontId="0" fillId="0" borderId="0" xfId="0" applyFont="1" applyAlignment="1" quotePrefix="1">
      <alignment/>
    </xf>
    <xf numFmtId="2" fontId="0" fillId="0" borderId="0" xfId="0" applyNumberFormat="1" applyFill="1" applyBorder="1" applyAlignment="1">
      <alignment horizontal="right"/>
    </xf>
    <xf numFmtId="2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ill="1" applyBorder="1" applyAlignment="1">
      <alignment horizontal="right"/>
    </xf>
    <xf numFmtId="10" fontId="12" fillId="0" borderId="0" xfId="0" applyNumberFormat="1" applyFont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1" fontId="29" fillId="0" borderId="0" xfId="0" applyNumberFormat="1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13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0" xfId="66" applyBorder="1">
      <alignment/>
      <protection/>
    </xf>
    <xf numFmtId="0" fontId="0" fillId="0" borderId="0" xfId="66">
      <alignment/>
      <protection/>
    </xf>
    <xf numFmtId="0" fontId="11" fillId="0" borderId="0" xfId="66" applyFont="1" applyBorder="1" applyAlignment="1">
      <alignment horizontal="center"/>
      <protection/>
    </xf>
    <xf numFmtId="0" fontId="14" fillId="0" borderId="0" xfId="66" applyFont="1">
      <alignment/>
      <protection/>
    </xf>
    <xf numFmtId="0" fontId="42" fillId="0" borderId="0" xfId="66" applyFont="1">
      <alignment/>
      <protection/>
    </xf>
    <xf numFmtId="0" fontId="12" fillId="0" borderId="0" xfId="66" applyFont="1" applyBorder="1" applyAlignment="1">
      <alignment horizontal="center"/>
      <protection/>
    </xf>
    <xf numFmtId="0" fontId="30" fillId="0" borderId="0" xfId="66" applyFont="1">
      <alignment/>
      <protection/>
    </xf>
    <xf numFmtId="0" fontId="0" fillId="0" borderId="0" xfId="66" applyBorder="1" applyAlignment="1">
      <alignment horizontal="center"/>
      <protection/>
    </xf>
    <xf numFmtId="0" fontId="22" fillId="0" borderId="0" xfId="66" applyFont="1">
      <alignment/>
      <protection/>
    </xf>
    <xf numFmtId="0" fontId="0" fillId="0" borderId="0" xfId="66" quotePrefix="1">
      <alignment/>
      <protection/>
    </xf>
    <xf numFmtId="0" fontId="0" fillId="0" borderId="13" xfId="66" applyBorder="1">
      <alignment/>
      <protection/>
    </xf>
    <xf numFmtId="0" fontId="21" fillId="0" borderId="13" xfId="66" applyFont="1" applyBorder="1" applyAlignment="1">
      <alignment horizontal="center"/>
      <protection/>
    </xf>
    <xf numFmtId="0" fontId="0" fillId="0" borderId="13" xfId="66" applyBorder="1" quotePrefix="1">
      <alignment/>
      <protection/>
    </xf>
    <xf numFmtId="0" fontId="21" fillId="0" borderId="0" xfId="66" applyFont="1" applyBorder="1" applyAlignment="1">
      <alignment horizontal="left"/>
      <protection/>
    </xf>
    <xf numFmtId="0" fontId="21" fillId="0" borderId="0" xfId="66" applyFont="1" applyBorder="1" applyAlignment="1">
      <alignment horizontal="right"/>
      <protection/>
    </xf>
    <xf numFmtId="0" fontId="28" fillId="0" borderId="0" xfId="66" applyFont="1">
      <alignment/>
      <protection/>
    </xf>
    <xf numFmtId="0" fontId="0" fillId="0" borderId="13" xfId="66" applyBorder="1" applyAlignment="1" quotePrefix="1">
      <alignment horizontal="right"/>
      <protection/>
    </xf>
    <xf numFmtId="0" fontId="0" fillId="0" borderId="13" xfId="66" applyBorder="1" applyAlignment="1" quotePrefix="1">
      <alignment horizontal="center"/>
      <protection/>
    </xf>
    <xf numFmtId="0" fontId="0" fillId="0" borderId="13" xfId="66" applyFill="1" applyBorder="1">
      <alignment/>
      <protection/>
    </xf>
    <xf numFmtId="0" fontId="0" fillId="0" borderId="0" xfId="66" applyAlignment="1" quotePrefix="1">
      <alignment horizontal="center"/>
      <protection/>
    </xf>
    <xf numFmtId="0" fontId="12" fillId="0" borderId="0" xfId="67" applyFont="1">
      <alignment/>
      <protection/>
    </xf>
    <xf numFmtId="0" fontId="0" fillId="0" borderId="19" xfId="67" applyFont="1" applyBorder="1">
      <alignment/>
      <protection/>
    </xf>
    <xf numFmtId="0" fontId="0" fillId="0" borderId="47" xfId="67" applyBorder="1">
      <alignment/>
      <protection/>
    </xf>
    <xf numFmtId="0" fontId="20" fillId="0" borderId="4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67" applyFont="1" applyBorder="1">
      <alignment/>
      <protection/>
    </xf>
    <xf numFmtId="0" fontId="0" fillId="0" borderId="0" xfId="67" applyAlignment="1">
      <alignment horizontal="left"/>
      <protection/>
    </xf>
    <xf numFmtId="2" fontId="0" fillId="0" borderId="0" xfId="67" applyNumberFormat="1" applyFont="1">
      <alignment/>
      <protection/>
    </xf>
    <xf numFmtId="0" fontId="13" fillId="0" borderId="0" xfId="67" applyFont="1" applyAlignment="1">
      <alignment horizontal="center"/>
      <protection/>
    </xf>
    <xf numFmtId="0" fontId="13" fillId="0" borderId="0" xfId="67" applyFont="1" applyAlignment="1">
      <alignment horizontal="left"/>
      <protection/>
    </xf>
    <xf numFmtId="0" fontId="0" fillId="0" borderId="0" xfId="67" applyBorder="1" applyAlignment="1">
      <alignment horizontal="center"/>
      <protection/>
    </xf>
    <xf numFmtId="0" fontId="0" fillId="0" borderId="19" xfId="67" applyBorder="1" applyAlignment="1">
      <alignment horizontal="center"/>
      <protection/>
    </xf>
    <xf numFmtId="2" fontId="0" fillId="0" borderId="0" xfId="67" applyNumberFormat="1">
      <alignment/>
      <protection/>
    </xf>
    <xf numFmtId="0" fontId="0" fillId="0" borderId="13" xfId="67" applyFont="1" applyBorder="1" applyAlignment="1">
      <alignment horizontal="center"/>
      <protection/>
    </xf>
    <xf numFmtId="0" fontId="0" fillId="0" borderId="13" xfId="67" applyBorder="1">
      <alignment/>
      <protection/>
    </xf>
    <xf numFmtId="0" fontId="12" fillId="0" borderId="0" xfId="67" applyFont="1" applyAlignment="1">
      <alignment horizontal="center"/>
      <protection/>
    </xf>
    <xf numFmtId="0" fontId="0" fillId="0" borderId="47" xfId="67" applyFont="1" applyBorder="1">
      <alignment/>
      <protection/>
    </xf>
    <xf numFmtId="0" fontId="0" fillId="0" borderId="32" xfId="67" applyBorder="1">
      <alignment/>
      <protection/>
    </xf>
    <xf numFmtId="0" fontId="0" fillId="0" borderId="50" xfId="67" applyBorder="1">
      <alignment/>
      <protection/>
    </xf>
    <xf numFmtId="0" fontId="0" fillId="0" borderId="50" xfId="67" applyFont="1" applyBorder="1">
      <alignment/>
      <protection/>
    </xf>
    <xf numFmtId="1" fontId="0" fillId="0" borderId="50" xfId="67" applyNumberFormat="1" applyBorder="1" applyAlignment="1">
      <alignment horizontal="center"/>
      <protection/>
    </xf>
    <xf numFmtId="0" fontId="0" fillId="0" borderId="50" xfId="67" applyBorder="1" applyAlignment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6" fillId="0" borderId="51" xfId="0" applyFont="1" applyBorder="1" applyAlignment="1">
      <alignment/>
    </xf>
    <xf numFmtId="0" fontId="31" fillId="0" borderId="0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53" xfId="0" applyNumberFormat="1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53" xfId="0" applyNumberFormat="1" applyFont="1" applyBorder="1" applyAlignment="1">
      <alignment/>
    </xf>
    <xf numFmtId="0" fontId="0" fillId="0" borderId="52" xfId="0" applyFont="1" applyFill="1" applyBorder="1" applyAlignment="1">
      <alignment/>
    </xf>
    <xf numFmtId="0" fontId="12" fillId="0" borderId="53" xfId="0" applyFont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52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" fontId="0" fillId="0" borderId="14" xfId="44" applyNumberFormat="1" applyBorder="1" applyAlignment="1">
      <alignment/>
    </xf>
    <xf numFmtId="1" fontId="0" fillId="0" borderId="59" xfId="44" applyNumberFormat="1" applyBorder="1" applyAlignment="1">
      <alignment/>
    </xf>
    <xf numFmtId="1" fontId="0" fillId="0" borderId="0" xfId="44" applyNumberFormat="1" applyBorder="1" applyAlignment="1">
      <alignment/>
    </xf>
    <xf numFmtId="0" fontId="0" fillId="0" borderId="60" xfId="0" applyBorder="1" applyAlignment="1">
      <alignment/>
    </xf>
    <xf numFmtId="1" fontId="0" fillId="0" borderId="61" xfId="44" applyNumberFormat="1" applyBorder="1" applyAlignment="1">
      <alignment/>
    </xf>
    <xf numFmtId="1" fontId="0" fillId="0" borderId="62" xfId="44" applyNumberFormat="1" applyBorder="1" applyAlignment="1">
      <alignment/>
    </xf>
    <xf numFmtId="0" fontId="19" fillId="0" borderId="63" xfId="0" applyFont="1" applyBorder="1" applyAlignment="1">
      <alignment/>
    </xf>
    <xf numFmtId="0" fontId="0" fillId="0" borderId="64" xfId="0" applyBorder="1" applyAlignment="1">
      <alignment/>
    </xf>
    <xf numFmtId="1" fontId="0" fillId="0" borderId="64" xfId="44" applyNumberFormat="1" applyBorder="1" applyAlignment="1">
      <alignment/>
    </xf>
    <xf numFmtId="1" fontId="0" fillId="0" borderId="65" xfId="44" applyNumberForma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2" fontId="0" fillId="0" borderId="61" xfId="0" applyNumberFormat="1" applyBorder="1" applyAlignment="1">
      <alignment/>
    </xf>
    <xf numFmtId="2" fontId="0" fillId="0" borderId="62" xfId="0" applyNumberFormat="1" applyBorder="1" applyAlignment="1">
      <alignment/>
    </xf>
    <xf numFmtId="171" fontId="0" fillId="0" borderId="61" xfId="0" applyNumberFormat="1" applyBorder="1" applyAlignment="1">
      <alignment/>
    </xf>
    <xf numFmtId="171" fontId="0" fillId="0" borderId="62" xfId="0" applyNumberFormat="1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Border="1" applyAlignment="1">
      <alignment wrapText="1"/>
    </xf>
    <xf numFmtId="0" fontId="13" fillId="0" borderId="60" xfId="0" applyFont="1" applyBorder="1" applyAlignment="1">
      <alignment/>
    </xf>
    <xf numFmtId="41" fontId="0" fillId="0" borderId="61" xfId="44" applyNumberFormat="1" applyBorder="1" applyAlignment="1">
      <alignment vertical="center"/>
    </xf>
    <xf numFmtId="41" fontId="0" fillId="0" borderId="62" xfId="44" applyNumberFormat="1" applyBorder="1" applyAlignment="1">
      <alignment vertical="center"/>
    </xf>
    <xf numFmtId="41" fontId="0" fillId="0" borderId="0" xfId="44" applyNumberFormat="1" applyBorder="1" applyAlignment="1">
      <alignment vertic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1" fontId="13" fillId="0" borderId="61" xfId="0" applyNumberFormat="1" applyFont="1" applyFill="1" applyBorder="1" applyAlignment="1">
      <alignment horizontal="center"/>
    </xf>
    <xf numFmtId="1" fontId="13" fillId="0" borderId="62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9" fillId="0" borderId="60" xfId="0" applyFont="1" applyBorder="1" applyAlignment="1">
      <alignment horizontal="center"/>
    </xf>
    <xf numFmtId="1" fontId="13" fillId="0" borderId="61" xfId="0" applyNumberFormat="1" applyFont="1" applyBorder="1" applyAlignment="1">
      <alignment horizontal="center"/>
    </xf>
    <xf numFmtId="1" fontId="13" fillId="0" borderId="62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61" xfId="0" applyNumberFormat="1" applyFont="1" applyBorder="1" applyAlignment="1">
      <alignment horizontal="center"/>
    </xf>
    <xf numFmtId="1" fontId="13" fillId="0" borderId="62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9" fillId="0" borderId="60" xfId="0" applyFont="1" applyBorder="1" applyAlignment="1">
      <alignment/>
    </xf>
    <xf numFmtId="1" fontId="19" fillId="0" borderId="61" xfId="0" applyNumberFormat="1" applyFont="1" applyBorder="1" applyAlignment="1">
      <alignment horizontal="center"/>
    </xf>
    <xf numFmtId="1" fontId="19" fillId="0" borderId="62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3" fillId="0" borderId="66" xfId="0" applyFont="1" applyBorder="1" applyAlignment="1">
      <alignment/>
    </xf>
    <xf numFmtId="1" fontId="19" fillId="0" borderId="67" xfId="0" applyNumberFormat="1" applyFont="1" applyBorder="1" applyAlignment="1">
      <alignment horizontal="center"/>
    </xf>
    <xf numFmtId="1" fontId="19" fillId="0" borderId="68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70" fontId="0" fillId="0" borderId="19" xfId="0" applyNumberFormat="1" applyBorder="1" applyAlignment="1">
      <alignment/>
    </xf>
    <xf numFmtId="0" fontId="12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1" fontId="1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1" fontId="0" fillId="0" borderId="0" xfId="44" applyNumberFormat="1" applyBorder="1" applyAlignment="1">
      <alignment horizontal="right"/>
    </xf>
    <xf numFmtId="176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79" fontId="0" fillId="0" borderId="0" xfId="44" applyNumberFormat="1" applyBorder="1" applyAlignment="1">
      <alignment horizontal="center"/>
    </xf>
    <xf numFmtId="4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1" fontId="0" fillId="0" borderId="0" xfId="0" applyNumberFormat="1" applyBorder="1" applyAlignment="1">
      <alignment horizontal="center"/>
    </xf>
    <xf numFmtId="43" fontId="0" fillId="0" borderId="0" xfId="44" applyBorder="1" applyAlignment="1">
      <alignment horizontal="center" vertical="center"/>
    </xf>
    <xf numFmtId="43" fontId="0" fillId="0" borderId="0" xfId="44" applyBorder="1" applyAlignment="1">
      <alignment horizontal="center"/>
    </xf>
    <xf numFmtId="176" fontId="0" fillId="0" borderId="0" xfId="44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43" fontId="0" fillId="0" borderId="0" xfId="44" applyBorder="1" applyAlignment="1">
      <alignment horizontal="right"/>
    </xf>
    <xf numFmtId="4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0" xfId="0" applyFont="1" applyAlignment="1">
      <alignment horizontal="center"/>
    </xf>
    <xf numFmtId="2" fontId="0" fillId="0" borderId="0" xfId="68" applyBorder="1" applyAlignment="1">
      <alignment horizontal="center"/>
      <protection/>
    </xf>
    <xf numFmtId="0" fontId="0" fillId="0" borderId="0" xfId="66" applyAlignment="1">
      <alignment horizontal="right"/>
      <protection/>
    </xf>
    <xf numFmtId="0" fontId="0" fillId="0" borderId="0" xfId="66" applyAlignment="1">
      <alignment horizontal="center" vertical="center"/>
      <protection/>
    </xf>
    <xf numFmtId="0" fontId="0" fillId="0" borderId="0" xfId="66" applyAlignment="1">
      <alignment horizontal="center"/>
      <protection/>
    </xf>
    <xf numFmtId="0" fontId="0" fillId="0" borderId="13" xfId="66" applyBorder="1" applyAlignment="1">
      <alignment horizontal="center"/>
      <protection/>
    </xf>
    <xf numFmtId="0" fontId="0" fillId="0" borderId="0" xfId="66" applyAlignment="1" quotePrefix="1">
      <alignment horizontal="center" vertical="center"/>
      <protection/>
    </xf>
    <xf numFmtId="0" fontId="0" fillId="0" borderId="0" xfId="66" applyAlignment="1">
      <alignment horizontal="left" vertical="center"/>
      <protection/>
    </xf>
    <xf numFmtId="43" fontId="0" fillId="0" borderId="0" xfId="44" applyAlignment="1">
      <alignment horizontal="center"/>
    </xf>
    <xf numFmtId="0" fontId="0" fillId="0" borderId="19" xfId="66" applyBorder="1" applyAlignment="1">
      <alignment horizontal="center"/>
      <protection/>
    </xf>
    <xf numFmtId="181" fontId="0" fillId="0" borderId="0" xfId="45" applyNumberFormat="1" applyAlignment="1">
      <alignment horizontal="right"/>
    </xf>
    <xf numFmtId="43" fontId="0" fillId="0" borderId="0" xfId="66" applyNumberFormat="1" applyAlignment="1">
      <alignment horizontal="center"/>
      <protection/>
    </xf>
    <xf numFmtId="0" fontId="0" fillId="0" borderId="13" xfId="66" applyFont="1" applyBorder="1" applyAlignment="1">
      <alignment horizontal="center"/>
      <protection/>
    </xf>
    <xf numFmtId="0" fontId="0" fillId="0" borderId="19" xfId="66" applyBorder="1" applyAlignment="1" quotePrefix="1">
      <alignment horizont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 Currency (0)" xfId="41"/>
    <cellStyle name="Calculation" xfId="42"/>
    <cellStyle name="Check Cell" xfId="43"/>
    <cellStyle name="Comma" xfId="44"/>
    <cellStyle name="Comma [0]" xfId="45"/>
    <cellStyle name="Copied" xfId="46"/>
    <cellStyle name="Currency" xfId="47"/>
    <cellStyle name="Currency [0]" xfId="48"/>
    <cellStyle name="Entered" xfId="49"/>
    <cellStyle name="Explanatory Text" xfId="50"/>
    <cellStyle name="Followed Hyperlink" xfId="51"/>
    <cellStyle name="Good" xfId="52"/>
    <cellStyle name="Grey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Neutral" xfId="64"/>
    <cellStyle name="Normal - Style1" xfId="65"/>
    <cellStyle name="Normal_Book1" xfId="66"/>
    <cellStyle name="Normal_Kemuning " xfId="67"/>
    <cellStyle name="Normal_MANYAR-TS" xfId="68"/>
    <cellStyle name="Note" xfId="69"/>
    <cellStyle name="Output" xfId="70"/>
    <cellStyle name="Percent" xfId="71"/>
    <cellStyle name="Percent [2]" xfId="72"/>
    <cellStyle name="RevList" xfId="73"/>
    <cellStyle name="Subtotal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1%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InteraksiKolom!$C$70:$C$73</c:f>
            </c:numRef>
          </c:xVal>
          <c:yVal>
            <c:numRef>
              <c:f>InteraksiKolom!$C$75:$C$78</c:f>
            </c:numRef>
          </c:yVal>
          <c:smooth val="1"/>
        </c:ser>
        <c:ser>
          <c:idx val="1"/>
          <c:order val="1"/>
          <c:tx>
            <c:v>2%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InteraksiKolom!$D$70:$D$73</c:f>
            </c:numRef>
          </c:xVal>
          <c:yVal>
            <c:numRef>
              <c:f>InteraksiKolom!$D$75:$D$78</c:f>
            </c:numRef>
          </c:yVal>
          <c:smooth val="1"/>
        </c:ser>
        <c:ser>
          <c:idx val="2"/>
          <c:order val="2"/>
          <c:tx>
            <c:v>3%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InteraksiKolom!$E$70:$E$73</c:f>
            </c:numRef>
          </c:xVal>
          <c:yVal>
            <c:numRef>
              <c:f>InteraksiKolom!$E$75:$E$78</c:f>
            </c:numRef>
          </c:yVal>
          <c:smooth val="1"/>
        </c:ser>
        <c:ser>
          <c:idx val="3"/>
          <c:order val="3"/>
          <c:tx>
            <c:v>4%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InteraksiKolom!$F$70:$F$73</c:f>
            </c:numRef>
          </c:xVal>
          <c:yVal>
            <c:numRef>
              <c:f>InteraksiKolom!$F$75:$F$78</c:f>
            </c:numRef>
          </c:yVal>
          <c:smooth val="1"/>
        </c:ser>
        <c:ser>
          <c:idx val="4"/>
          <c:order val="4"/>
          <c:tx>
            <c:v>5%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InteraksiKolom!$G$70:$G$73</c:f>
            </c:numRef>
          </c:xVal>
          <c:yVal>
            <c:numRef>
              <c:f>InteraksiKolom!$G$75:$G$78</c:f>
            </c:numRef>
          </c:yVal>
          <c:smooth val="1"/>
        </c:ser>
        <c:ser>
          <c:idx val="5"/>
          <c:order val="5"/>
          <c:tx>
            <c:v>6%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InteraksiKolom!$H$70:$H$73</c:f>
            </c:numRef>
          </c:xVal>
          <c:yVal>
            <c:numRef>
              <c:f>InteraksiKolom!$H$75:$H$78</c:f>
            </c:numRef>
          </c:yVal>
          <c:smooth val="1"/>
        </c:ser>
        <c:ser>
          <c:idx val="6"/>
          <c:order val="6"/>
          <c:tx>
            <c:v>7%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InteraksiKolom!$I$70:$I$73</c:f>
            </c:numRef>
          </c:xVal>
          <c:yVal>
            <c:numRef>
              <c:f>InteraksiKolom!$I$75:$I$78</c:f>
            </c:numRef>
          </c:yVal>
          <c:smooth val="1"/>
        </c:ser>
        <c:ser>
          <c:idx val="7"/>
          <c:order val="7"/>
          <c:tx>
            <c:v>8%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InteraksiKolom!$J$70:$J$73</c:f>
            </c:numRef>
          </c:xVal>
          <c:yVal>
            <c:numRef>
              <c:f>InteraksiKolom!$J$75:$J$78</c:f>
            </c:numRef>
          </c:yVal>
          <c:smooth val="1"/>
        </c:ser>
        <c:ser>
          <c:idx val="8"/>
          <c:order val="8"/>
          <c:tx>
            <c:v>K1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strRef>
              <c:f>InteraksiKolom!#REF!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InteraksiKolom!#REF!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K2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InteraksiKolom!#REF!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InteraksiKolom!#REF!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K3</c:v>
          </c:tx>
          <c:spPr>
            <a:ln w="127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InteraksiKolom!#REF!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InteraksiKolom!#REF!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6168287"/>
        <c:axId val="58643672"/>
      </c:scatterChart>
      <c:valAx>
        <c:axId val="66168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M (kN-M)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 val="autoZero"/>
        <c:crossBetween val="midCat"/>
        <c:dispUnits/>
      </c:valAx>
      <c:valAx>
        <c:axId val="58643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P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82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2375"/>
          <c:w val="0.92125"/>
          <c:h val="0.864"/>
        </c:manualLayout>
      </c:layout>
      <c:scatterChart>
        <c:scatterStyle val="smoothMarker"/>
        <c:varyColors val="0"/>
        <c:ser>
          <c:idx val="0"/>
          <c:order val="0"/>
          <c:tx>
            <c:v>1%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InteraksiKolom!$C$80:$C$83</c:f>
              <c:numCache/>
            </c:numRef>
          </c:xVal>
          <c:yVal>
            <c:numRef>
              <c:f>InteraksiKolom!$C$84:$C$87</c:f>
              <c:numCache/>
            </c:numRef>
          </c:yVal>
          <c:smooth val="1"/>
        </c:ser>
        <c:ser>
          <c:idx val="1"/>
          <c:order val="1"/>
          <c:tx>
            <c:v>2%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InteraksiKolom!$D$80:$D$83</c:f>
              <c:numCache/>
            </c:numRef>
          </c:xVal>
          <c:yVal>
            <c:numRef>
              <c:f>InteraksiKolom!$D$84:$D$87</c:f>
              <c:numCache/>
            </c:numRef>
          </c:yVal>
          <c:smooth val="1"/>
        </c:ser>
        <c:ser>
          <c:idx val="2"/>
          <c:order val="2"/>
          <c:tx>
            <c:v>3%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InteraksiKolom!$E$80:$E$83</c:f>
              <c:numCache/>
            </c:numRef>
          </c:xVal>
          <c:yVal>
            <c:numRef>
              <c:f>InteraksiKolom!$E$84:$E$87</c:f>
              <c:numCache/>
            </c:numRef>
          </c:yVal>
          <c:smooth val="1"/>
        </c:ser>
        <c:ser>
          <c:idx val="3"/>
          <c:order val="3"/>
          <c:tx>
            <c:v>4%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InteraksiKolom!$F$80:$F$83</c:f>
              <c:numCache/>
            </c:numRef>
          </c:xVal>
          <c:yVal>
            <c:numRef>
              <c:f>InteraksiKolom!$F$84:$F$87</c:f>
              <c:numCache/>
            </c:numRef>
          </c:yVal>
          <c:smooth val="1"/>
        </c:ser>
        <c:ser>
          <c:idx val="4"/>
          <c:order val="4"/>
          <c:tx>
            <c:v>5%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InteraksiKolom!$G$80:$G$83</c:f>
              <c:numCache/>
            </c:numRef>
          </c:xVal>
          <c:yVal>
            <c:numRef>
              <c:f>InteraksiKolom!$G$84:$G$87</c:f>
              <c:numCache/>
            </c:numRef>
          </c:yVal>
          <c:smooth val="1"/>
        </c:ser>
        <c:ser>
          <c:idx val="5"/>
          <c:order val="5"/>
          <c:tx>
            <c:v>6%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InteraksiKolom!$H$80:$H$83</c:f>
              <c:numCache/>
            </c:numRef>
          </c:xVal>
          <c:yVal>
            <c:numRef>
              <c:f>InteraksiKolom!$H$84:$H$87</c:f>
              <c:numCache/>
            </c:numRef>
          </c:yVal>
          <c:smooth val="1"/>
        </c:ser>
        <c:ser>
          <c:idx val="6"/>
          <c:order val="6"/>
          <c:tx>
            <c:v>7%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InteraksiKolom!$I$80:$I$83</c:f>
              <c:numCache/>
            </c:numRef>
          </c:xVal>
          <c:yVal>
            <c:numRef>
              <c:f>InteraksiKolom!$I$84:$I$87</c:f>
              <c:numCache/>
            </c:numRef>
          </c:yVal>
          <c:smooth val="1"/>
        </c:ser>
        <c:ser>
          <c:idx val="7"/>
          <c:order val="7"/>
          <c:tx>
            <c:v>8%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InteraksiKolom!$J$80:$J$83</c:f>
              <c:numCache/>
            </c:numRef>
          </c:xVal>
          <c:yVal>
            <c:numRef>
              <c:f>InteraksiKolom!$J$84:$J$87</c:f>
              <c:numCache/>
            </c:numRef>
          </c:yVal>
          <c:smooth val="1"/>
        </c:ser>
        <c:ser>
          <c:idx val="8"/>
          <c:order val="8"/>
          <c:tx>
            <c:strRef>
              <c:f>InteraksiKolom!$C$103</c:f>
              <c:strCache>
                <c:ptCount val="1"/>
                <c:pt idx="0">
                  <c:v>K1a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InteraksiKolom!$C$116</c:f>
              <c:numCache/>
            </c:numRef>
          </c:xVal>
          <c:yVal>
            <c:numRef>
              <c:f>InteraksiKolom!$C$114</c:f>
              <c:numCache/>
            </c:numRef>
          </c:yVal>
          <c:smooth val="1"/>
        </c:ser>
        <c:ser>
          <c:idx val="9"/>
          <c:order val="9"/>
          <c:tx>
            <c:strRef>
              <c:f>InteraksiKolom!$D$103</c:f>
              <c:strCache>
                <c:ptCount val="1"/>
                <c:pt idx="0">
                  <c:v>K2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InteraksiKolom!$D$116</c:f>
              <c:numCache/>
            </c:numRef>
          </c:xVal>
          <c:yVal>
            <c:numRef>
              <c:f>InteraksiKolom!$D$114</c:f>
              <c:numCache/>
            </c:numRef>
          </c:yVal>
          <c:smooth val="1"/>
        </c:ser>
        <c:ser>
          <c:idx val="10"/>
          <c:order val="10"/>
          <c:tx>
            <c:strRef>
              <c:f>InteraksiKolom!$E$103</c:f>
              <c:strCache>
                <c:ptCount val="1"/>
                <c:pt idx="0">
                  <c:v>K3</c:v>
                </c:pt>
              </c:strCache>
            </c:strRef>
          </c:tx>
          <c:spPr>
            <a:ln w="127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InteraksiKolom!$E$116</c:f>
              <c:numCache/>
            </c:numRef>
          </c:xVal>
          <c:yVal>
            <c:numRef>
              <c:f>InteraksiKolom!$E$114</c:f>
              <c:numCache/>
            </c:numRef>
          </c:yVal>
          <c:smooth val="1"/>
        </c:ser>
        <c:ser>
          <c:idx val="11"/>
          <c:order val="11"/>
          <c:tx>
            <c:strRef>
              <c:f>InteraksiKolom!$F$103</c:f>
              <c:strCache>
                <c:ptCount val="1"/>
                <c:pt idx="0">
                  <c:v>K4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InteraksiKolom!$F$116</c:f>
              <c:numCache/>
            </c:numRef>
          </c:xVal>
          <c:yVal>
            <c:numRef>
              <c:f>InteraksiKolom!$F$114</c:f>
              <c:numCache/>
            </c:numRef>
          </c:yVal>
          <c:smooth val="1"/>
        </c:ser>
        <c:ser>
          <c:idx val="12"/>
          <c:order val="12"/>
          <c:tx>
            <c:strRef>
              <c:f>InteraksiKolom!$G$103</c:f>
              <c:strCache>
                <c:ptCount val="1"/>
                <c:pt idx="0">
                  <c:v>K5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InteraksiKolom!$G$116</c:f>
              <c:numCache/>
            </c:numRef>
          </c:xVal>
          <c:yVal>
            <c:numRef>
              <c:f>InteraksiKolom!$G$114</c:f>
              <c:numCache/>
            </c:numRef>
          </c:yVal>
          <c:smooth val="1"/>
        </c:ser>
        <c:axId val="58031001"/>
        <c:axId val="52516962"/>
      </c:scatterChart>
      <c:valAx>
        <c:axId val="5803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Mn (kN-M)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 val="autoZero"/>
        <c:crossBetween val="midCat"/>
        <c:dispUnits/>
      </c:valAx>
      <c:valAx>
        <c:axId val="52516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Pn (kN)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371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18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171450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88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2</xdr:col>
      <xdr:colOff>171450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09600" y="0"/>
          <a:ext cx="527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19125" y="0"/>
          <a:ext cx="527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448050" y="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00075" y="0"/>
          <a:ext cx="4762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323975" y="0"/>
          <a:ext cx="4762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314450" y="0"/>
          <a:ext cx="4762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90550" y="0"/>
          <a:ext cx="4762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343150" y="0"/>
          <a:ext cx="4762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0</xdr:row>
      <xdr:rowOff>0</xdr:rowOff>
    </xdr:from>
    <xdr:to>
      <xdr:col>11</xdr:col>
      <xdr:colOff>28575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352675" y="0"/>
          <a:ext cx="4762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0</xdr:row>
      <xdr:rowOff>0</xdr:rowOff>
    </xdr:from>
    <xdr:to>
      <xdr:col>27</xdr:col>
      <xdr:colOff>19050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867400" y="0"/>
          <a:ext cx="4762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0</xdr:row>
      <xdr:rowOff>0</xdr:rowOff>
    </xdr:from>
    <xdr:to>
      <xdr:col>27</xdr:col>
      <xdr:colOff>19050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867400" y="0"/>
          <a:ext cx="4762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17</xdr:col>
      <xdr:colOff>38100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 rot="16200000">
          <a:off x="3714750" y="0"/>
          <a:ext cx="1428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 rot="16200000">
          <a:off x="3705225" y="0"/>
          <a:ext cx="1428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0</xdr:row>
      <xdr:rowOff>0</xdr:rowOff>
    </xdr:from>
    <xdr:to>
      <xdr:col>15</xdr:col>
      <xdr:colOff>38100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 rot="16200000">
          <a:off x="3352800" y="0"/>
          <a:ext cx="1428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171450</xdr:colOff>
      <xdr:row>0</xdr:row>
      <xdr:rowOff>0</xdr:rowOff>
    </xdr:from>
    <xdr:to>
      <xdr:col>25</xdr:col>
      <xdr:colOff>133350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 rot="16200000">
          <a:off x="5524500" y="0"/>
          <a:ext cx="1428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161925</xdr:colOff>
      <xdr:row>0</xdr:row>
      <xdr:rowOff>0</xdr:rowOff>
    </xdr:from>
    <xdr:to>
      <xdr:col>25</xdr:col>
      <xdr:colOff>123825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 rot="16200000">
          <a:off x="5514975" y="0"/>
          <a:ext cx="1428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0</xdr:row>
      <xdr:rowOff>0</xdr:rowOff>
    </xdr:from>
    <xdr:to>
      <xdr:col>15</xdr:col>
      <xdr:colOff>38100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 rot="16200000">
          <a:off x="3352800" y="0"/>
          <a:ext cx="1428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314450" y="0"/>
          <a:ext cx="4762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03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142875</xdr:rowOff>
    </xdr:from>
    <xdr:to>
      <xdr:col>5</xdr:col>
      <xdr:colOff>161925</xdr:colOff>
      <xdr:row>17</xdr:row>
      <xdr:rowOff>133350</xdr:rowOff>
    </xdr:to>
    <xdr:sp>
      <xdr:nvSpPr>
        <xdr:cNvPr id="27" name="Rectangle 27"/>
        <xdr:cNvSpPr>
          <a:spLocks/>
        </xdr:cNvSpPr>
      </xdr:nvSpPr>
      <xdr:spPr>
        <a:xfrm>
          <a:off x="1076325" y="1638300"/>
          <a:ext cx="762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133350</xdr:rowOff>
    </xdr:from>
    <xdr:to>
      <xdr:col>7</xdr:col>
      <xdr:colOff>0</xdr:colOff>
      <xdr:row>17</xdr:row>
      <xdr:rowOff>133350</xdr:rowOff>
    </xdr:to>
    <xdr:sp>
      <xdr:nvSpPr>
        <xdr:cNvPr id="28" name="Line 28"/>
        <xdr:cNvSpPr>
          <a:spLocks/>
        </xdr:cNvSpPr>
      </xdr:nvSpPr>
      <xdr:spPr>
        <a:xfrm flipV="1">
          <a:off x="866775" y="292417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</xdr:row>
      <xdr:rowOff>85725</xdr:rowOff>
    </xdr:from>
    <xdr:to>
      <xdr:col>5</xdr:col>
      <xdr:colOff>123825</xdr:colOff>
      <xdr:row>9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1114425" y="1257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191</xdr:row>
      <xdr:rowOff>57150</xdr:rowOff>
    </xdr:from>
    <xdr:to>
      <xdr:col>12</xdr:col>
      <xdr:colOff>104775</xdr:colOff>
      <xdr:row>197</xdr:row>
      <xdr:rowOff>57150</xdr:rowOff>
    </xdr:to>
    <xdr:grpSp>
      <xdr:nvGrpSpPr>
        <xdr:cNvPr id="30" name="Group 32"/>
        <xdr:cNvGrpSpPr>
          <a:grpSpLocks/>
        </xdr:cNvGrpSpPr>
      </xdr:nvGrpSpPr>
      <xdr:grpSpPr>
        <a:xfrm>
          <a:off x="1666875" y="14668500"/>
          <a:ext cx="1085850" cy="990600"/>
          <a:chOff x="175" y="1489"/>
          <a:chExt cx="114" cy="104"/>
        </a:xfrm>
        <a:solidFill>
          <a:srgbClr val="FFFFFF"/>
        </a:solidFill>
      </xdr:grpSpPr>
      <xdr:grpSp>
        <xdr:nvGrpSpPr>
          <xdr:cNvPr id="31" name="Group 33"/>
          <xdr:cNvGrpSpPr>
            <a:grpSpLocks/>
          </xdr:cNvGrpSpPr>
        </xdr:nvGrpSpPr>
        <xdr:grpSpPr>
          <a:xfrm>
            <a:off x="195" y="1503"/>
            <a:ext cx="76" cy="81"/>
            <a:chOff x="191" y="1503"/>
            <a:chExt cx="76" cy="81"/>
          </a:xfrm>
          <a:solidFill>
            <a:srgbClr val="FFFFFF"/>
          </a:solidFill>
        </xdr:grpSpPr>
        <xdr:sp>
          <xdr:nvSpPr>
            <xdr:cNvPr id="32" name="Oval 34"/>
            <xdr:cNvSpPr>
              <a:spLocks/>
            </xdr:cNvSpPr>
          </xdr:nvSpPr>
          <xdr:spPr>
            <a:xfrm>
              <a:off x="191" y="1503"/>
              <a:ext cx="6" cy="6"/>
            </a:xfrm>
            <a:prstGeom prst="ellipse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5"/>
            <xdr:cNvSpPr>
              <a:spLocks/>
            </xdr:cNvSpPr>
          </xdr:nvSpPr>
          <xdr:spPr>
            <a:xfrm>
              <a:off x="227" y="1503"/>
              <a:ext cx="6" cy="6"/>
            </a:xfrm>
            <a:prstGeom prst="ellipse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6"/>
            <xdr:cNvSpPr>
              <a:spLocks/>
            </xdr:cNvSpPr>
          </xdr:nvSpPr>
          <xdr:spPr>
            <a:xfrm>
              <a:off x="260" y="1503"/>
              <a:ext cx="6" cy="6"/>
            </a:xfrm>
            <a:prstGeom prst="ellipse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7"/>
            <xdr:cNvSpPr>
              <a:spLocks/>
            </xdr:cNvSpPr>
          </xdr:nvSpPr>
          <xdr:spPr>
            <a:xfrm>
              <a:off x="191" y="1540"/>
              <a:ext cx="6" cy="6"/>
            </a:xfrm>
            <a:prstGeom prst="ellipse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38"/>
            <xdr:cNvSpPr>
              <a:spLocks/>
            </xdr:cNvSpPr>
          </xdr:nvSpPr>
          <xdr:spPr>
            <a:xfrm>
              <a:off x="260" y="1540"/>
              <a:ext cx="6" cy="6"/>
            </a:xfrm>
            <a:prstGeom prst="ellipse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39"/>
            <xdr:cNvSpPr>
              <a:spLocks/>
            </xdr:cNvSpPr>
          </xdr:nvSpPr>
          <xdr:spPr>
            <a:xfrm>
              <a:off x="192" y="1578"/>
              <a:ext cx="6" cy="6"/>
            </a:xfrm>
            <a:prstGeom prst="ellipse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Oval 40"/>
            <xdr:cNvSpPr>
              <a:spLocks/>
            </xdr:cNvSpPr>
          </xdr:nvSpPr>
          <xdr:spPr>
            <a:xfrm>
              <a:off x="228" y="1578"/>
              <a:ext cx="6" cy="6"/>
            </a:xfrm>
            <a:prstGeom prst="ellipse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Oval 41"/>
            <xdr:cNvSpPr>
              <a:spLocks/>
            </xdr:cNvSpPr>
          </xdr:nvSpPr>
          <xdr:spPr>
            <a:xfrm>
              <a:off x="261" y="1578"/>
              <a:ext cx="6" cy="6"/>
            </a:xfrm>
            <a:prstGeom prst="ellipse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" name="Rectangle 42"/>
          <xdr:cNvSpPr>
            <a:spLocks/>
          </xdr:cNvSpPr>
        </xdr:nvSpPr>
        <xdr:spPr>
          <a:xfrm>
            <a:off x="175" y="1489"/>
            <a:ext cx="114" cy="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198</xdr:row>
      <xdr:rowOff>114300</xdr:rowOff>
    </xdr:from>
    <xdr:to>
      <xdr:col>7</xdr:col>
      <xdr:colOff>95250</xdr:colOff>
      <xdr:row>199</xdr:row>
      <xdr:rowOff>47625</xdr:rowOff>
    </xdr:to>
    <xdr:sp>
      <xdr:nvSpPr>
        <xdr:cNvPr id="41" name="Line 43"/>
        <xdr:cNvSpPr>
          <a:spLocks/>
        </xdr:cNvSpPr>
      </xdr:nvSpPr>
      <xdr:spPr>
        <a:xfrm>
          <a:off x="1447800" y="15878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198</xdr:row>
      <xdr:rowOff>114300</xdr:rowOff>
    </xdr:from>
    <xdr:to>
      <xdr:col>12</xdr:col>
      <xdr:colOff>76200</xdr:colOff>
      <xdr:row>199</xdr:row>
      <xdr:rowOff>47625</xdr:rowOff>
    </xdr:to>
    <xdr:sp>
      <xdr:nvSpPr>
        <xdr:cNvPr id="42" name="Line 44"/>
        <xdr:cNvSpPr>
          <a:spLocks/>
        </xdr:cNvSpPr>
      </xdr:nvSpPr>
      <xdr:spPr>
        <a:xfrm>
          <a:off x="2724150" y="15878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191</xdr:row>
      <xdr:rowOff>28575</xdr:rowOff>
    </xdr:from>
    <xdr:to>
      <xdr:col>13</xdr:col>
      <xdr:colOff>85725</xdr:colOff>
      <xdr:row>194</xdr:row>
      <xdr:rowOff>47625</xdr:rowOff>
    </xdr:to>
    <xdr:sp>
      <xdr:nvSpPr>
        <xdr:cNvPr id="43" name="Line 45"/>
        <xdr:cNvSpPr>
          <a:spLocks/>
        </xdr:cNvSpPr>
      </xdr:nvSpPr>
      <xdr:spPr>
        <a:xfrm>
          <a:off x="3181350" y="146399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195</xdr:row>
      <xdr:rowOff>9525</xdr:rowOff>
    </xdr:from>
    <xdr:to>
      <xdr:col>13</xdr:col>
      <xdr:colOff>76200</xdr:colOff>
      <xdr:row>197</xdr:row>
      <xdr:rowOff>114300</xdr:rowOff>
    </xdr:to>
    <xdr:sp>
      <xdr:nvSpPr>
        <xdr:cNvPr id="44" name="Line 46"/>
        <xdr:cNvSpPr>
          <a:spLocks/>
        </xdr:cNvSpPr>
      </xdr:nvSpPr>
      <xdr:spPr>
        <a:xfrm>
          <a:off x="3171825" y="15278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191</xdr:row>
      <xdr:rowOff>66675</xdr:rowOff>
    </xdr:from>
    <xdr:to>
      <xdr:col>13</xdr:col>
      <xdr:colOff>133350</xdr:colOff>
      <xdr:row>191</xdr:row>
      <xdr:rowOff>66675</xdr:rowOff>
    </xdr:to>
    <xdr:sp>
      <xdr:nvSpPr>
        <xdr:cNvPr id="45" name="Line 47"/>
        <xdr:cNvSpPr>
          <a:spLocks/>
        </xdr:cNvSpPr>
      </xdr:nvSpPr>
      <xdr:spPr>
        <a:xfrm>
          <a:off x="3133725" y="14678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197</xdr:row>
      <xdr:rowOff>76200</xdr:rowOff>
    </xdr:from>
    <xdr:to>
      <xdr:col>13</xdr:col>
      <xdr:colOff>123825</xdr:colOff>
      <xdr:row>197</xdr:row>
      <xdr:rowOff>76200</xdr:rowOff>
    </xdr:to>
    <xdr:sp>
      <xdr:nvSpPr>
        <xdr:cNvPr id="46" name="Line 48"/>
        <xdr:cNvSpPr>
          <a:spLocks/>
        </xdr:cNvSpPr>
      </xdr:nvSpPr>
      <xdr:spPr>
        <a:xfrm>
          <a:off x="3124200" y="15678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194</xdr:row>
      <xdr:rowOff>76200</xdr:rowOff>
    </xdr:from>
    <xdr:to>
      <xdr:col>7</xdr:col>
      <xdr:colOff>171450</xdr:colOff>
      <xdr:row>195</xdr:row>
      <xdr:rowOff>66675</xdr:rowOff>
    </xdr:to>
    <xdr:sp>
      <xdr:nvSpPr>
        <xdr:cNvPr id="47" name="Line 49"/>
        <xdr:cNvSpPr>
          <a:spLocks/>
        </xdr:cNvSpPr>
      </xdr:nvSpPr>
      <xdr:spPr>
        <a:xfrm flipH="1" flipV="1">
          <a:off x="1371600" y="1518285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194</xdr:row>
      <xdr:rowOff>76200</xdr:rowOff>
    </xdr:from>
    <xdr:to>
      <xdr:col>7</xdr:col>
      <xdr:colOff>19050</xdr:colOff>
      <xdr:row>194</xdr:row>
      <xdr:rowOff>76200</xdr:rowOff>
    </xdr:to>
    <xdr:sp>
      <xdr:nvSpPr>
        <xdr:cNvPr id="48" name="Line 50"/>
        <xdr:cNvSpPr>
          <a:spLocks/>
        </xdr:cNvSpPr>
      </xdr:nvSpPr>
      <xdr:spPr>
        <a:xfrm flipH="1">
          <a:off x="1285875" y="151828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19050</xdr:rowOff>
    </xdr:from>
    <xdr:to>
      <xdr:col>28</xdr:col>
      <xdr:colOff>152400</xdr:colOff>
      <xdr:row>1</xdr:row>
      <xdr:rowOff>152400</xdr:rowOff>
    </xdr:to>
    <xdr:grpSp>
      <xdr:nvGrpSpPr>
        <xdr:cNvPr id="49" name="Group 51"/>
        <xdr:cNvGrpSpPr>
          <a:grpSpLocks/>
        </xdr:cNvGrpSpPr>
      </xdr:nvGrpSpPr>
      <xdr:grpSpPr>
        <a:xfrm>
          <a:off x="333375" y="19050"/>
          <a:ext cx="5895975" cy="295275"/>
          <a:chOff x="35" y="2"/>
          <a:chExt cx="619" cy="31"/>
        </a:xfrm>
        <a:solidFill>
          <a:srgbClr val="FFFFFF"/>
        </a:solidFill>
      </xdr:grpSpPr>
      <xdr:sp>
        <xdr:nvSpPr>
          <xdr:cNvPr id="50" name="Rectangle 52"/>
          <xdr:cNvSpPr>
            <a:spLocks/>
          </xdr:cNvSpPr>
        </xdr:nvSpPr>
        <xdr:spPr>
          <a:xfrm>
            <a:off x="35" y="2"/>
            <a:ext cx="61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53"/>
          <xdr:cNvSpPr txBox="1">
            <a:spLocks noChangeArrowheads="1"/>
          </xdr:cNvSpPr>
        </xdr:nvSpPr>
        <xdr:spPr>
          <a:xfrm>
            <a:off x="425" y="3"/>
            <a:ext cx="22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Doc     : BTN/PBI&amp;SKSNI/TS/05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            :</a:t>
            </a:r>
          </a:p>
        </xdr:txBody>
      </xdr:sp>
      <xdr:sp>
        <xdr:nvSpPr>
          <xdr:cNvPr id="52" name="Text Box 54"/>
          <xdr:cNvSpPr txBox="1">
            <a:spLocks noChangeArrowheads="1"/>
          </xdr:cNvSpPr>
        </xdr:nvSpPr>
        <xdr:spPr>
          <a:xfrm>
            <a:off x="40" y="11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Judul Dokument</a:t>
            </a:r>
          </a:p>
        </xdr:txBody>
      </xdr:sp>
      <xdr:sp>
        <xdr:nvSpPr>
          <xdr:cNvPr id="53" name="Text Box 55"/>
          <xdr:cNvSpPr txBox="1">
            <a:spLocks noChangeArrowheads="1"/>
          </xdr:cNvSpPr>
        </xdr:nvSpPr>
        <xdr:spPr>
          <a:xfrm>
            <a:off x="179" y="10"/>
            <a:ext cx="2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Penulangan Kolom</a:t>
            </a:r>
          </a:p>
        </xdr:txBody>
      </xdr:sp>
      <xdr:sp>
        <xdr:nvSpPr>
          <xdr:cNvPr id="54" name="Line 56"/>
          <xdr:cNvSpPr>
            <a:spLocks/>
          </xdr:cNvSpPr>
        </xdr:nvSpPr>
        <xdr:spPr>
          <a:xfrm>
            <a:off x="154" y="3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7"/>
          <xdr:cNvSpPr>
            <a:spLocks/>
          </xdr:cNvSpPr>
        </xdr:nvSpPr>
        <xdr:spPr>
          <a:xfrm>
            <a:off x="417" y="2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 rot="16200000"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 rot="16200000"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 rot="16200000"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 rot="16200000"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 rot="16200000"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 rot="16200000"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38100</xdr:rowOff>
    </xdr:from>
    <xdr:to>
      <xdr:col>9</xdr:col>
      <xdr:colOff>695325</xdr:colOff>
      <xdr:row>2</xdr:row>
      <xdr:rowOff>9525</xdr:rowOff>
    </xdr:to>
    <xdr:grpSp>
      <xdr:nvGrpSpPr>
        <xdr:cNvPr id="27" name="Group 29"/>
        <xdr:cNvGrpSpPr>
          <a:grpSpLocks/>
        </xdr:cNvGrpSpPr>
      </xdr:nvGrpSpPr>
      <xdr:grpSpPr>
        <a:xfrm>
          <a:off x="247650" y="38100"/>
          <a:ext cx="5524500" cy="295275"/>
          <a:chOff x="35" y="2"/>
          <a:chExt cx="619" cy="31"/>
        </a:xfrm>
        <a:solidFill>
          <a:srgbClr val="FFFFFF"/>
        </a:solidFill>
      </xdr:grpSpPr>
      <xdr:sp>
        <xdr:nvSpPr>
          <xdr:cNvPr id="28" name="Rectangle 30"/>
          <xdr:cNvSpPr>
            <a:spLocks/>
          </xdr:cNvSpPr>
        </xdr:nvSpPr>
        <xdr:spPr>
          <a:xfrm>
            <a:off x="35" y="2"/>
            <a:ext cx="61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 Box 31"/>
          <xdr:cNvSpPr txBox="1">
            <a:spLocks noChangeArrowheads="1"/>
          </xdr:cNvSpPr>
        </xdr:nvSpPr>
        <xdr:spPr>
          <a:xfrm>
            <a:off x="425" y="3"/>
            <a:ext cx="22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Doc     : BTN/PBI&amp;SKSNI/TS/05-1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            :</a:t>
            </a:r>
          </a:p>
        </xdr:txBody>
      </xdr:sp>
      <xdr:sp>
        <xdr:nvSpPr>
          <xdr:cNvPr id="30" name="Text Box 32"/>
          <xdr:cNvSpPr txBox="1">
            <a:spLocks noChangeArrowheads="1"/>
          </xdr:cNvSpPr>
        </xdr:nvSpPr>
        <xdr:spPr>
          <a:xfrm>
            <a:off x="40" y="11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Judul Dokument</a:t>
            </a:r>
          </a:p>
        </xdr:txBody>
      </xdr:sp>
      <xdr:sp>
        <xdr:nvSpPr>
          <xdr:cNvPr id="31" name="Text Box 33"/>
          <xdr:cNvSpPr txBox="1">
            <a:spLocks noChangeArrowheads="1"/>
          </xdr:cNvSpPr>
        </xdr:nvSpPr>
        <xdr:spPr>
          <a:xfrm>
            <a:off x="179" y="10"/>
            <a:ext cx="2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Tabel Penulangan Kolom</a:t>
            </a:r>
          </a:p>
        </xdr:txBody>
      </xdr:sp>
      <xdr:sp>
        <xdr:nvSpPr>
          <xdr:cNvPr id="32" name="Line 34"/>
          <xdr:cNvSpPr>
            <a:spLocks/>
          </xdr:cNvSpPr>
        </xdr:nvSpPr>
        <xdr:spPr>
          <a:xfrm>
            <a:off x="154" y="3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>
            <a:off x="417" y="2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152400</xdr:rowOff>
    </xdr:from>
    <xdr:to>
      <xdr:col>9</xdr:col>
      <xdr:colOff>685800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23825" y="2257425"/>
        <a:ext cx="6962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219075</xdr:colOff>
      <xdr:row>0</xdr:row>
      <xdr:rowOff>76200</xdr:rowOff>
    </xdr:from>
    <xdr:to>
      <xdr:col>9</xdr:col>
      <xdr:colOff>628650</xdr:colOff>
      <xdr:row>2</xdr:row>
      <xdr:rowOff>47625</xdr:rowOff>
    </xdr:to>
    <xdr:grpSp>
      <xdr:nvGrpSpPr>
        <xdr:cNvPr id="2" name="Group 2"/>
        <xdr:cNvGrpSpPr>
          <a:grpSpLocks/>
        </xdr:cNvGrpSpPr>
      </xdr:nvGrpSpPr>
      <xdr:grpSpPr>
        <a:xfrm>
          <a:off x="371475" y="76200"/>
          <a:ext cx="6657975" cy="295275"/>
          <a:chOff x="26" y="4"/>
          <a:chExt cx="564" cy="31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26" y="4"/>
            <a:ext cx="564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15" y="5"/>
            <a:ext cx="17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Doc     : BTN/SKSNI/ALDO/05-2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            :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1" y="13"/>
            <a:ext cx="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Judul Dokument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57" y="12"/>
            <a:ext cx="23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 Interaksi Kolom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34" y="5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07" y="4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9</xdr:row>
      <xdr:rowOff>9525</xdr:rowOff>
    </xdr:from>
    <xdr:to>
      <xdr:col>9</xdr:col>
      <xdr:colOff>676275</xdr:colOff>
      <xdr:row>100</xdr:row>
      <xdr:rowOff>19050</xdr:rowOff>
    </xdr:to>
    <xdr:graphicFrame>
      <xdr:nvGraphicFramePr>
        <xdr:cNvPr id="9" name="Chart 9"/>
        <xdr:cNvGraphicFramePr/>
      </xdr:nvGraphicFramePr>
      <xdr:xfrm>
        <a:off x="104775" y="1600200"/>
        <a:ext cx="69723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46</xdr:row>
      <xdr:rowOff>28575</xdr:rowOff>
    </xdr:from>
    <xdr:to>
      <xdr:col>5</xdr:col>
      <xdr:colOff>666750</xdr:colOff>
      <xdr:row>51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923925" y="8953500"/>
          <a:ext cx="2486025" cy="942975"/>
          <a:chOff x="91" y="950"/>
          <a:chExt cx="257" cy="99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91" y="950"/>
            <a:ext cx="257" cy="74"/>
            <a:chOff x="101" y="949"/>
            <a:chExt cx="161" cy="74"/>
          </a:xfrm>
          <a:solidFill>
            <a:srgbClr val="FFFFFF"/>
          </a:solidFill>
        </xdr:grpSpPr>
        <xdr:sp>
          <xdr:nvSpPr>
            <xdr:cNvPr id="3" name="Rectangle 3"/>
            <xdr:cNvSpPr>
              <a:spLocks/>
            </xdr:cNvSpPr>
          </xdr:nvSpPr>
          <xdr:spPr>
            <a:xfrm>
              <a:off x="125" y="976"/>
              <a:ext cx="136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4" descr="Light upward diagonal"/>
            <xdr:cNvSpPr>
              <a:spLocks/>
            </xdr:cNvSpPr>
          </xdr:nvSpPr>
          <xdr:spPr>
            <a:xfrm>
              <a:off x="101" y="956"/>
              <a:ext cx="24" cy="55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V="1">
              <a:off x="217" y="991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>
              <a:off x="252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>
              <a:off x="125" y="949"/>
              <a:ext cx="137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237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89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172" y="949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151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136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206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221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15"/>
          <xdr:cNvSpPr>
            <a:spLocks/>
          </xdr:cNvSpPr>
        </xdr:nvSpPr>
        <xdr:spPr>
          <a:xfrm>
            <a:off x="129" y="1029"/>
            <a:ext cx="1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29" y="1049"/>
            <a:ext cx="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60</xdr:row>
      <xdr:rowOff>28575</xdr:rowOff>
    </xdr:from>
    <xdr:to>
      <xdr:col>6</xdr:col>
      <xdr:colOff>342900</xdr:colOff>
      <xdr:row>66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23925" y="11401425"/>
          <a:ext cx="2838450" cy="0"/>
          <a:chOff x="97" y="1186"/>
          <a:chExt cx="298" cy="119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136" y="1218"/>
            <a:ext cx="25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9" descr="Light upward diagonal"/>
          <xdr:cNvSpPr>
            <a:spLocks/>
          </xdr:cNvSpPr>
        </xdr:nvSpPr>
        <xdr:spPr>
          <a:xfrm>
            <a:off x="97" y="1194"/>
            <a:ext cx="39" cy="67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279" y="1237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42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136" y="1186"/>
            <a:ext cx="259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17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40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12" y="118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178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154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267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92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138" y="1263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V="1">
            <a:off x="136" y="1305"/>
            <a:ext cx="2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40" y="1283"/>
            <a:ext cx="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351" y="1236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63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77</xdr:row>
      <xdr:rowOff>28575</xdr:rowOff>
    </xdr:from>
    <xdr:to>
      <xdr:col>7</xdr:col>
      <xdr:colOff>285750</xdr:colOff>
      <xdr:row>84</xdr:row>
      <xdr:rowOff>19050</xdr:rowOff>
    </xdr:to>
    <xdr:grpSp>
      <xdr:nvGrpSpPr>
        <xdr:cNvPr id="35" name="Group 35"/>
        <xdr:cNvGrpSpPr>
          <a:grpSpLocks/>
        </xdr:cNvGrpSpPr>
      </xdr:nvGrpSpPr>
      <xdr:grpSpPr>
        <a:xfrm>
          <a:off x="923925" y="11401425"/>
          <a:ext cx="3457575" cy="0"/>
          <a:chOff x="97" y="1526"/>
          <a:chExt cx="363" cy="139"/>
        </a:xfrm>
        <a:solidFill>
          <a:srgbClr val="FFFFFF"/>
        </a:solidFill>
      </xdr:grpSpPr>
      <xdr:sp>
        <xdr:nvSpPr>
          <xdr:cNvPr id="36" name="Rectangle 36"/>
          <xdr:cNvSpPr>
            <a:spLocks/>
          </xdr:cNvSpPr>
        </xdr:nvSpPr>
        <xdr:spPr>
          <a:xfrm>
            <a:off x="136" y="1558"/>
            <a:ext cx="324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 descr="Light upward diagonal"/>
          <xdr:cNvSpPr>
            <a:spLocks/>
          </xdr:cNvSpPr>
        </xdr:nvSpPr>
        <xdr:spPr>
          <a:xfrm>
            <a:off x="97" y="1534"/>
            <a:ext cx="39" cy="67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279" y="1577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342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0"/>
          <xdr:cNvSpPr>
            <a:spLocks/>
          </xdr:cNvSpPr>
        </xdr:nvSpPr>
        <xdr:spPr>
          <a:xfrm>
            <a:off x="136" y="1526"/>
            <a:ext cx="324" cy="2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17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240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212" y="152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78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154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67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292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38" y="1603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 flipV="1">
            <a:off x="136" y="1665"/>
            <a:ext cx="3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140" y="1623"/>
            <a:ext cx="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V="1">
            <a:off x="351" y="1576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63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141" y="1644"/>
            <a:ext cx="2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V="1">
            <a:off x="406" y="1576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385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403" y="152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424" y="152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443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95</xdr:row>
      <xdr:rowOff>28575</xdr:rowOff>
    </xdr:from>
    <xdr:to>
      <xdr:col>8</xdr:col>
      <xdr:colOff>371475</xdr:colOff>
      <xdr:row>103</xdr:row>
      <xdr:rowOff>19050</xdr:rowOff>
    </xdr:to>
    <xdr:grpSp>
      <xdr:nvGrpSpPr>
        <xdr:cNvPr id="59" name="Group 59"/>
        <xdr:cNvGrpSpPr>
          <a:grpSpLocks/>
        </xdr:cNvGrpSpPr>
      </xdr:nvGrpSpPr>
      <xdr:grpSpPr>
        <a:xfrm>
          <a:off x="923925" y="11401425"/>
          <a:ext cx="4381500" cy="0"/>
          <a:chOff x="97" y="1886"/>
          <a:chExt cx="460" cy="159"/>
        </a:xfrm>
        <a:solidFill>
          <a:srgbClr val="FFFFFF"/>
        </a:solidFill>
      </xdr:grpSpPr>
      <xdr:sp>
        <xdr:nvSpPr>
          <xdr:cNvPr id="60" name="Rectangle 60"/>
          <xdr:cNvSpPr>
            <a:spLocks/>
          </xdr:cNvSpPr>
        </xdr:nvSpPr>
        <xdr:spPr>
          <a:xfrm>
            <a:off x="136" y="1918"/>
            <a:ext cx="42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1" descr="Light upward diagonal"/>
          <xdr:cNvSpPr>
            <a:spLocks/>
          </xdr:cNvSpPr>
        </xdr:nvSpPr>
        <xdr:spPr>
          <a:xfrm>
            <a:off x="97" y="1894"/>
            <a:ext cx="39" cy="67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279" y="1937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42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136" y="1886"/>
            <a:ext cx="419" cy="2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317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240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212" y="188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178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154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267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292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38" y="1963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V="1">
            <a:off x="136" y="2045"/>
            <a:ext cx="4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140" y="1983"/>
            <a:ext cx="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 flipV="1">
            <a:off x="351" y="1936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363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142" y="2003"/>
            <a:ext cx="2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 flipV="1">
            <a:off x="406" y="1936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85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403" y="18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424" y="18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443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144" y="2024"/>
            <a:ext cx="3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V="1">
            <a:off x="490" y="1934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466" y="18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485" y="188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507" y="18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531" y="18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164</xdr:row>
      <xdr:rowOff>28575</xdr:rowOff>
    </xdr:from>
    <xdr:to>
      <xdr:col>5</xdr:col>
      <xdr:colOff>666750</xdr:colOff>
      <xdr:row>169</xdr:row>
      <xdr:rowOff>19050</xdr:rowOff>
    </xdr:to>
    <xdr:grpSp>
      <xdr:nvGrpSpPr>
        <xdr:cNvPr id="89" name="Group 89"/>
        <xdr:cNvGrpSpPr>
          <a:grpSpLocks/>
        </xdr:cNvGrpSpPr>
      </xdr:nvGrpSpPr>
      <xdr:grpSpPr>
        <a:xfrm>
          <a:off x="923925" y="20612100"/>
          <a:ext cx="2486025" cy="942975"/>
          <a:chOff x="91" y="950"/>
          <a:chExt cx="257" cy="99"/>
        </a:xfrm>
        <a:solidFill>
          <a:srgbClr val="FFFFFF"/>
        </a:solidFill>
      </xdr:grpSpPr>
      <xdr:grpSp>
        <xdr:nvGrpSpPr>
          <xdr:cNvPr id="90" name="Group 90"/>
          <xdr:cNvGrpSpPr>
            <a:grpSpLocks/>
          </xdr:cNvGrpSpPr>
        </xdr:nvGrpSpPr>
        <xdr:grpSpPr>
          <a:xfrm>
            <a:off x="91" y="950"/>
            <a:ext cx="257" cy="74"/>
            <a:chOff x="101" y="949"/>
            <a:chExt cx="161" cy="74"/>
          </a:xfrm>
          <a:solidFill>
            <a:srgbClr val="FFFFFF"/>
          </a:solidFill>
        </xdr:grpSpPr>
        <xdr:sp>
          <xdr:nvSpPr>
            <xdr:cNvPr id="91" name="Rectangle 91"/>
            <xdr:cNvSpPr>
              <a:spLocks/>
            </xdr:cNvSpPr>
          </xdr:nvSpPr>
          <xdr:spPr>
            <a:xfrm>
              <a:off x="125" y="976"/>
              <a:ext cx="136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Rectangle 92" descr="Light upward diagonal"/>
            <xdr:cNvSpPr>
              <a:spLocks/>
            </xdr:cNvSpPr>
          </xdr:nvSpPr>
          <xdr:spPr>
            <a:xfrm>
              <a:off x="101" y="956"/>
              <a:ext cx="24" cy="55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 flipV="1">
              <a:off x="217" y="991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252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Rectangle 95"/>
            <xdr:cNvSpPr>
              <a:spLocks/>
            </xdr:cNvSpPr>
          </xdr:nvSpPr>
          <xdr:spPr>
            <a:xfrm>
              <a:off x="125" y="949"/>
              <a:ext cx="137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96"/>
            <xdr:cNvSpPr>
              <a:spLocks/>
            </xdr:cNvSpPr>
          </xdr:nvSpPr>
          <xdr:spPr>
            <a:xfrm>
              <a:off x="237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189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172" y="949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99"/>
            <xdr:cNvSpPr>
              <a:spLocks/>
            </xdr:cNvSpPr>
          </xdr:nvSpPr>
          <xdr:spPr>
            <a:xfrm>
              <a:off x="151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100"/>
            <xdr:cNvSpPr>
              <a:spLocks/>
            </xdr:cNvSpPr>
          </xdr:nvSpPr>
          <xdr:spPr>
            <a:xfrm>
              <a:off x="136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101"/>
            <xdr:cNvSpPr>
              <a:spLocks/>
            </xdr:cNvSpPr>
          </xdr:nvSpPr>
          <xdr:spPr>
            <a:xfrm>
              <a:off x="206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02"/>
            <xdr:cNvSpPr>
              <a:spLocks/>
            </xdr:cNvSpPr>
          </xdr:nvSpPr>
          <xdr:spPr>
            <a:xfrm>
              <a:off x="221" y="950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3" name="Line 103"/>
          <xdr:cNvSpPr>
            <a:spLocks/>
          </xdr:cNvSpPr>
        </xdr:nvSpPr>
        <xdr:spPr>
          <a:xfrm>
            <a:off x="129" y="1029"/>
            <a:ext cx="1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129" y="1049"/>
            <a:ext cx="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178</xdr:row>
      <xdr:rowOff>28575</xdr:rowOff>
    </xdr:from>
    <xdr:to>
      <xdr:col>6</xdr:col>
      <xdr:colOff>342900</xdr:colOff>
      <xdr:row>184</xdr:row>
      <xdr:rowOff>19050</xdr:rowOff>
    </xdr:to>
    <xdr:grpSp>
      <xdr:nvGrpSpPr>
        <xdr:cNvPr id="105" name="Group 105"/>
        <xdr:cNvGrpSpPr>
          <a:grpSpLocks/>
        </xdr:cNvGrpSpPr>
      </xdr:nvGrpSpPr>
      <xdr:grpSpPr>
        <a:xfrm>
          <a:off x="923925" y="23060025"/>
          <a:ext cx="2838450" cy="0"/>
          <a:chOff x="97" y="1186"/>
          <a:chExt cx="298" cy="119"/>
        </a:xfrm>
        <a:solidFill>
          <a:srgbClr val="FFFFFF"/>
        </a:solidFill>
      </xdr:grpSpPr>
      <xdr:sp>
        <xdr:nvSpPr>
          <xdr:cNvPr id="106" name="Rectangle 106"/>
          <xdr:cNvSpPr>
            <a:spLocks/>
          </xdr:cNvSpPr>
        </xdr:nvSpPr>
        <xdr:spPr>
          <a:xfrm>
            <a:off x="136" y="1218"/>
            <a:ext cx="25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107" descr="Light upward diagonal"/>
          <xdr:cNvSpPr>
            <a:spLocks/>
          </xdr:cNvSpPr>
        </xdr:nvSpPr>
        <xdr:spPr>
          <a:xfrm>
            <a:off x="97" y="1194"/>
            <a:ext cx="39" cy="67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 flipV="1">
            <a:off x="279" y="1237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342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>
            <a:off x="136" y="1186"/>
            <a:ext cx="259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317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240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>
            <a:off x="212" y="118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178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154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267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292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>
            <a:off x="138" y="1263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 flipV="1">
            <a:off x="136" y="1305"/>
            <a:ext cx="2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140" y="1283"/>
            <a:ext cx="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 flipV="1">
            <a:off x="351" y="1236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363" y="11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195</xdr:row>
      <xdr:rowOff>28575</xdr:rowOff>
    </xdr:from>
    <xdr:to>
      <xdr:col>7</xdr:col>
      <xdr:colOff>285750</xdr:colOff>
      <xdr:row>202</xdr:row>
      <xdr:rowOff>19050</xdr:rowOff>
    </xdr:to>
    <xdr:grpSp>
      <xdr:nvGrpSpPr>
        <xdr:cNvPr id="123" name="Group 123"/>
        <xdr:cNvGrpSpPr>
          <a:grpSpLocks/>
        </xdr:cNvGrpSpPr>
      </xdr:nvGrpSpPr>
      <xdr:grpSpPr>
        <a:xfrm>
          <a:off x="923925" y="23060025"/>
          <a:ext cx="3457575" cy="0"/>
          <a:chOff x="97" y="1526"/>
          <a:chExt cx="363" cy="139"/>
        </a:xfrm>
        <a:solidFill>
          <a:srgbClr val="FFFFFF"/>
        </a:solidFill>
      </xdr:grpSpPr>
      <xdr:sp>
        <xdr:nvSpPr>
          <xdr:cNvPr id="124" name="Rectangle 124"/>
          <xdr:cNvSpPr>
            <a:spLocks/>
          </xdr:cNvSpPr>
        </xdr:nvSpPr>
        <xdr:spPr>
          <a:xfrm>
            <a:off x="136" y="1558"/>
            <a:ext cx="324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 descr="Light upward diagonal"/>
          <xdr:cNvSpPr>
            <a:spLocks/>
          </xdr:cNvSpPr>
        </xdr:nvSpPr>
        <xdr:spPr>
          <a:xfrm>
            <a:off x="97" y="1534"/>
            <a:ext cx="39" cy="67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 flipV="1">
            <a:off x="279" y="1577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342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128"/>
          <xdr:cNvSpPr>
            <a:spLocks/>
          </xdr:cNvSpPr>
        </xdr:nvSpPr>
        <xdr:spPr>
          <a:xfrm>
            <a:off x="136" y="1526"/>
            <a:ext cx="324" cy="2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317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240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212" y="152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178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154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267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292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138" y="1603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 flipV="1">
            <a:off x="136" y="1665"/>
            <a:ext cx="3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140" y="1623"/>
            <a:ext cx="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 flipV="1">
            <a:off x="351" y="1576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363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141" y="1644"/>
            <a:ext cx="2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 flipV="1">
            <a:off x="406" y="1576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385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403" y="152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424" y="152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443" y="15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213</xdr:row>
      <xdr:rowOff>28575</xdr:rowOff>
    </xdr:from>
    <xdr:to>
      <xdr:col>8</xdr:col>
      <xdr:colOff>371475</xdr:colOff>
      <xdr:row>221</xdr:row>
      <xdr:rowOff>19050</xdr:rowOff>
    </xdr:to>
    <xdr:grpSp>
      <xdr:nvGrpSpPr>
        <xdr:cNvPr id="147" name="Group 147"/>
        <xdr:cNvGrpSpPr>
          <a:grpSpLocks/>
        </xdr:cNvGrpSpPr>
      </xdr:nvGrpSpPr>
      <xdr:grpSpPr>
        <a:xfrm>
          <a:off x="923925" y="23060025"/>
          <a:ext cx="4381500" cy="0"/>
          <a:chOff x="97" y="1886"/>
          <a:chExt cx="460" cy="159"/>
        </a:xfrm>
        <a:solidFill>
          <a:srgbClr val="FFFFFF"/>
        </a:solidFill>
      </xdr:grpSpPr>
      <xdr:sp>
        <xdr:nvSpPr>
          <xdr:cNvPr id="148" name="Rectangle 148"/>
          <xdr:cNvSpPr>
            <a:spLocks/>
          </xdr:cNvSpPr>
        </xdr:nvSpPr>
        <xdr:spPr>
          <a:xfrm>
            <a:off x="136" y="1918"/>
            <a:ext cx="42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149" descr="Light upward diagonal"/>
          <xdr:cNvSpPr>
            <a:spLocks/>
          </xdr:cNvSpPr>
        </xdr:nvSpPr>
        <xdr:spPr>
          <a:xfrm>
            <a:off x="97" y="1894"/>
            <a:ext cx="39" cy="67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 flipV="1">
            <a:off x="279" y="1937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342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152"/>
          <xdr:cNvSpPr>
            <a:spLocks/>
          </xdr:cNvSpPr>
        </xdr:nvSpPr>
        <xdr:spPr>
          <a:xfrm>
            <a:off x="136" y="1886"/>
            <a:ext cx="419" cy="2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317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>
            <a:off x="240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55"/>
          <xdr:cNvSpPr>
            <a:spLocks/>
          </xdr:cNvSpPr>
        </xdr:nvSpPr>
        <xdr:spPr>
          <a:xfrm>
            <a:off x="212" y="188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178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>
            <a:off x="154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>
            <a:off x="267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292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138" y="1963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 flipV="1">
            <a:off x="136" y="2045"/>
            <a:ext cx="4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140" y="1983"/>
            <a:ext cx="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 flipV="1">
            <a:off x="351" y="1936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363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142" y="2003"/>
            <a:ext cx="2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 flipV="1">
            <a:off x="406" y="1936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385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403" y="18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69"/>
          <xdr:cNvSpPr>
            <a:spLocks/>
          </xdr:cNvSpPr>
        </xdr:nvSpPr>
        <xdr:spPr>
          <a:xfrm>
            <a:off x="424" y="18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0"/>
          <xdr:cNvSpPr>
            <a:spLocks/>
          </xdr:cNvSpPr>
        </xdr:nvSpPr>
        <xdr:spPr>
          <a:xfrm>
            <a:off x="443" y="188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>
            <a:off x="144" y="2024"/>
            <a:ext cx="3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 flipV="1">
            <a:off x="490" y="1934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>
            <a:off x="466" y="18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>
            <a:off x="485" y="188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>
            <a:off x="507" y="18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531" y="18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19050</xdr:rowOff>
    </xdr:from>
    <xdr:to>
      <xdr:col>10</xdr:col>
      <xdr:colOff>19050</xdr:colOff>
      <xdr:row>1</xdr:row>
      <xdr:rowOff>152400</xdr:rowOff>
    </xdr:to>
    <xdr:grpSp>
      <xdr:nvGrpSpPr>
        <xdr:cNvPr id="177" name="Group 177"/>
        <xdr:cNvGrpSpPr>
          <a:grpSpLocks/>
        </xdr:cNvGrpSpPr>
      </xdr:nvGrpSpPr>
      <xdr:grpSpPr>
        <a:xfrm>
          <a:off x="333375" y="19050"/>
          <a:ext cx="5895975" cy="295275"/>
          <a:chOff x="35" y="2"/>
          <a:chExt cx="619" cy="31"/>
        </a:xfrm>
        <a:solidFill>
          <a:srgbClr val="FFFFFF"/>
        </a:solidFill>
      </xdr:grpSpPr>
      <xdr:sp>
        <xdr:nvSpPr>
          <xdr:cNvPr id="178" name="Rectangle 178"/>
          <xdr:cNvSpPr>
            <a:spLocks/>
          </xdr:cNvSpPr>
        </xdr:nvSpPr>
        <xdr:spPr>
          <a:xfrm>
            <a:off x="35" y="2"/>
            <a:ext cx="61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Text Box 179"/>
          <xdr:cNvSpPr txBox="1">
            <a:spLocks noChangeArrowheads="1"/>
          </xdr:cNvSpPr>
        </xdr:nvSpPr>
        <xdr:spPr>
          <a:xfrm>
            <a:off x="425" y="3"/>
            <a:ext cx="22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Doc     : BTN/SKSNI/TS/06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            :</a:t>
            </a:r>
          </a:p>
        </xdr:txBody>
      </xdr:sp>
      <xdr:sp>
        <xdr:nvSpPr>
          <xdr:cNvPr id="180" name="Text Box 180"/>
          <xdr:cNvSpPr txBox="1">
            <a:spLocks noChangeArrowheads="1"/>
          </xdr:cNvSpPr>
        </xdr:nvSpPr>
        <xdr:spPr>
          <a:xfrm>
            <a:off x="40" y="11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Judul Dokument</a:t>
            </a:r>
          </a:p>
        </xdr:txBody>
      </xdr:sp>
      <xdr:sp>
        <xdr:nvSpPr>
          <xdr:cNvPr id="181" name="Text Box 181"/>
          <xdr:cNvSpPr txBox="1">
            <a:spLocks noChangeArrowheads="1"/>
          </xdr:cNvSpPr>
        </xdr:nvSpPr>
        <xdr:spPr>
          <a:xfrm>
            <a:off x="179" y="10"/>
            <a:ext cx="2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Penulangan Pile Cap</a:t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154" y="3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417" y="2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21</xdr:row>
      <xdr:rowOff>9525</xdr:rowOff>
    </xdr:from>
    <xdr:to>
      <xdr:col>7</xdr:col>
      <xdr:colOff>333375</xdr:colOff>
      <xdr:row>38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838200" y="3629025"/>
          <a:ext cx="4133850" cy="2819400"/>
          <a:chOff x="61" y="98"/>
          <a:chExt cx="434" cy="296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90" y="250"/>
            <a:ext cx="377" cy="28"/>
            <a:chOff x="96" y="262"/>
            <a:chExt cx="377" cy="28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96" y="276"/>
              <a:ext cx="3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459" y="267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193" y="263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>
              <a:off x="109" y="262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7"/>
          <xdr:cNvGrpSpPr>
            <a:grpSpLocks/>
          </xdr:cNvGrpSpPr>
        </xdr:nvGrpSpPr>
        <xdr:grpSpPr>
          <a:xfrm>
            <a:off x="64" y="98"/>
            <a:ext cx="431" cy="143"/>
            <a:chOff x="64" y="118"/>
            <a:chExt cx="431" cy="143"/>
          </a:xfrm>
          <a:solidFill>
            <a:srgbClr val="FFFFFF"/>
          </a:solidFill>
        </xdr:grpSpPr>
        <xdr:grpSp>
          <xdr:nvGrpSpPr>
            <xdr:cNvPr id="8" name="Group 8"/>
            <xdr:cNvGrpSpPr>
              <a:grpSpLocks/>
            </xdr:cNvGrpSpPr>
          </xdr:nvGrpSpPr>
          <xdr:grpSpPr>
            <a:xfrm>
              <a:off x="90" y="118"/>
              <a:ext cx="405" cy="143"/>
              <a:chOff x="242" y="248"/>
              <a:chExt cx="405" cy="143"/>
            </a:xfrm>
            <a:solidFill>
              <a:srgbClr val="FFFFFF"/>
            </a:solidFill>
          </xdr:grpSpPr>
          <xdr:sp>
            <xdr:nvSpPr>
              <xdr:cNvPr id="9" name="Line 9"/>
              <xdr:cNvSpPr>
                <a:spLocks/>
              </xdr:cNvSpPr>
            </xdr:nvSpPr>
            <xdr:spPr>
              <a:xfrm>
                <a:off x="255" y="268"/>
                <a:ext cx="88" cy="0"/>
              </a:xfrm>
              <a:prstGeom prst="line">
                <a:avLst/>
              </a:prstGeom>
              <a:noFill/>
              <a:ln w="571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10"/>
              <xdr:cNvSpPr>
                <a:spLocks/>
              </xdr:cNvSpPr>
            </xdr:nvSpPr>
            <xdr:spPr>
              <a:xfrm>
                <a:off x="342" y="268"/>
                <a:ext cx="268" cy="96"/>
              </a:xfrm>
              <a:prstGeom prst="line">
                <a:avLst/>
              </a:prstGeom>
              <a:noFill/>
              <a:ln w="571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Line 11"/>
              <xdr:cNvSpPr>
                <a:spLocks/>
              </xdr:cNvSpPr>
            </xdr:nvSpPr>
            <xdr:spPr>
              <a:xfrm flipH="1">
                <a:off x="594" y="367"/>
                <a:ext cx="15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609" y="367"/>
                <a:ext cx="15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 flipV="1">
                <a:off x="584" y="382"/>
                <a:ext cx="5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>
                <a:off x="634" y="382"/>
                <a:ext cx="13" cy="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627" y="382"/>
                <a:ext cx="15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620" y="382"/>
                <a:ext cx="15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17"/>
              <xdr:cNvSpPr>
                <a:spLocks/>
              </xdr:cNvSpPr>
            </xdr:nvSpPr>
            <xdr:spPr>
              <a:xfrm>
                <a:off x="615" y="383"/>
                <a:ext cx="13" cy="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Line 18"/>
              <xdr:cNvSpPr>
                <a:spLocks/>
              </xdr:cNvSpPr>
            </xdr:nvSpPr>
            <xdr:spPr>
              <a:xfrm>
                <a:off x="608" y="383"/>
                <a:ext cx="15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>
                <a:off x="601" y="383"/>
                <a:ext cx="15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>
                <a:off x="593" y="383"/>
                <a:ext cx="13" cy="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586" y="383"/>
                <a:ext cx="15" cy="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>
                <a:off x="256" y="248"/>
                <a:ext cx="0" cy="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 flipH="1">
                <a:off x="242" y="249"/>
                <a:ext cx="13" cy="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 flipH="1">
                <a:off x="242" y="255"/>
                <a:ext cx="13" cy="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 flipH="1">
                <a:off x="242" y="261"/>
                <a:ext cx="13" cy="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 flipH="1">
                <a:off x="243" y="269"/>
                <a:ext cx="13" cy="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 flipH="1">
                <a:off x="242" y="276"/>
                <a:ext cx="13" cy="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 flipH="1">
                <a:off x="242" y="282"/>
                <a:ext cx="13" cy="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9" name="Line 29"/>
            <xdr:cNvSpPr>
              <a:spLocks/>
            </xdr:cNvSpPr>
          </xdr:nvSpPr>
          <xdr:spPr>
            <a:xfrm>
              <a:off x="75" y="128"/>
              <a:ext cx="0" cy="1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64" y="138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66" y="24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>
            <a:off x="61" y="290"/>
            <a:ext cx="391" cy="104"/>
            <a:chOff x="71" y="430"/>
            <a:chExt cx="391" cy="104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105" y="440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 flipV="1">
              <a:off x="105" y="439"/>
              <a:ext cx="35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105" y="526"/>
              <a:ext cx="35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6"/>
            <xdr:cNvSpPr>
              <a:spLocks/>
            </xdr:cNvSpPr>
          </xdr:nvSpPr>
          <xdr:spPr>
            <a:xfrm>
              <a:off x="198" y="440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37"/>
            <xdr:cNvSpPr>
              <a:spLocks/>
            </xdr:cNvSpPr>
          </xdr:nvSpPr>
          <xdr:spPr>
            <a:xfrm>
              <a:off x="461" y="440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8"/>
            <xdr:cNvSpPr>
              <a:spLocks/>
            </xdr:cNvSpPr>
          </xdr:nvSpPr>
          <xdr:spPr>
            <a:xfrm>
              <a:off x="83" y="430"/>
              <a:ext cx="0" cy="10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 flipH="1">
              <a:off x="71" y="439"/>
              <a:ext cx="2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 flipH="1">
              <a:off x="72" y="526"/>
              <a:ext cx="2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Text Box 41"/>
            <xdr:cNvSpPr txBox="1">
              <a:spLocks noChangeArrowheads="1"/>
            </xdr:cNvSpPr>
          </xdr:nvSpPr>
          <xdr:spPr>
            <a:xfrm>
              <a:off x="121" y="476"/>
              <a:ext cx="57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BORDES</a:t>
              </a:r>
            </a:p>
          </xdr:txBody>
        </xdr:sp>
        <xdr:sp>
          <xdr:nvSpPr>
            <xdr:cNvPr id="42" name="Text Box 42"/>
            <xdr:cNvSpPr txBox="1">
              <a:spLocks noChangeArrowheads="1"/>
            </xdr:cNvSpPr>
          </xdr:nvSpPr>
          <xdr:spPr>
            <a:xfrm>
              <a:off x="237" y="474"/>
              <a:ext cx="1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2286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FLIGHT/ANAK TANGGA</a:t>
              </a:r>
            </a:p>
          </xdr:txBody>
        </xdr:sp>
      </xdr:grpSp>
    </xdr:grpSp>
    <xdr:clientData/>
  </xdr:twoCellAnchor>
  <xdr:twoCellAnchor>
    <xdr:from>
      <xdr:col>1</xdr:col>
      <xdr:colOff>628650</xdr:colOff>
      <xdr:row>142</xdr:row>
      <xdr:rowOff>114300</xdr:rowOff>
    </xdr:from>
    <xdr:to>
      <xdr:col>9</xdr:col>
      <xdr:colOff>257175</xdr:colOff>
      <xdr:row>168</xdr:row>
      <xdr:rowOff>66675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3441025"/>
          <a:ext cx="4676775" cy="416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333375</xdr:colOff>
      <xdr:row>0</xdr:row>
      <xdr:rowOff>19050</xdr:rowOff>
    </xdr:from>
    <xdr:to>
      <xdr:col>10</xdr:col>
      <xdr:colOff>114300</xdr:colOff>
      <xdr:row>1</xdr:row>
      <xdr:rowOff>152400</xdr:rowOff>
    </xdr:to>
    <xdr:grpSp>
      <xdr:nvGrpSpPr>
        <xdr:cNvPr id="44" name="Group 44"/>
        <xdr:cNvGrpSpPr>
          <a:grpSpLocks/>
        </xdr:cNvGrpSpPr>
      </xdr:nvGrpSpPr>
      <xdr:grpSpPr>
        <a:xfrm>
          <a:off x="333375" y="19050"/>
          <a:ext cx="5895975" cy="295275"/>
          <a:chOff x="35" y="2"/>
          <a:chExt cx="619" cy="31"/>
        </a:xfrm>
        <a:solidFill>
          <a:srgbClr val="FFFFFF"/>
        </a:solidFill>
      </xdr:grpSpPr>
      <xdr:sp>
        <xdr:nvSpPr>
          <xdr:cNvPr id="45" name="Rectangle 45"/>
          <xdr:cNvSpPr>
            <a:spLocks/>
          </xdr:cNvSpPr>
        </xdr:nvSpPr>
        <xdr:spPr>
          <a:xfrm>
            <a:off x="35" y="2"/>
            <a:ext cx="61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46"/>
          <xdr:cNvSpPr txBox="1">
            <a:spLocks noChangeArrowheads="1"/>
          </xdr:cNvSpPr>
        </xdr:nvSpPr>
        <xdr:spPr>
          <a:xfrm>
            <a:off x="425" y="3"/>
            <a:ext cx="22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Doc     : BTN/SKSNI/TS/07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            :</a:t>
            </a:r>
          </a:p>
        </xdr:txBody>
      </xdr:sp>
      <xdr:sp>
        <xdr:nvSpPr>
          <xdr:cNvPr id="47" name="Text Box 47"/>
          <xdr:cNvSpPr txBox="1">
            <a:spLocks noChangeArrowheads="1"/>
          </xdr:cNvSpPr>
        </xdr:nvSpPr>
        <xdr:spPr>
          <a:xfrm>
            <a:off x="40" y="11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Judul Dokument</a:t>
            </a:r>
          </a:p>
        </xdr:txBody>
      </xdr:sp>
      <xdr:sp>
        <xdr:nvSpPr>
          <xdr:cNvPr id="48" name="Text Box 48"/>
          <xdr:cNvSpPr txBox="1">
            <a:spLocks noChangeArrowheads="1"/>
          </xdr:cNvSpPr>
        </xdr:nvSpPr>
        <xdr:spPr>
          <a:xfrm>
            <a:off x="179" y="10"/>
            <a:ext cx="2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Penulangan Tangga</a:t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154" y="3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417" y="2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19050</xdr:rowOff>
    </xdr:from>
    <xdr:to>
      <xdr:col>10</xdr:col>
      <xdr:colOff>409575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33375" y="19050"/>
          <a:ext cx="5895975" cy="295275"/>
          <a:chOff x="35" y="2"/>
          <a:chExt cx="619" cy="3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5" y="2"/>
            <a:ext cx="61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5" y="3"/>
            <a:ext cx="22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Doc     : BTN/SKSNI/TS/08-1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            :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" y="11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Judul Dokument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79" y="10"/>
            <a:ext cx="2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Penulangan Pondasi Telapak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54" y="3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17" y="2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7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34</xdr:row>
      <xdr:rowOff>28575</xdr:rowOff>
    </xdr:from>
    <xdr:to>
      <xdr:col>4</xdr:col>
      <xdr:colOff>114300</xdr:colOff>
      <xdr:row>35</xdr:row>
      <xdr:rowOff>133350</xdr:rowOff>
    </xdr:to>
    <xdr:sp>
      <xdr:nvSpPr>
        <xdr:cNvPr id="2" name="Oval 2"/>
        <xdr:cNvSpPr>
          <a:spLocks/>
        </xdr:cNvSpPr>
      </xdr:nvSpPr>
      <xdr:spPr>
        <a:xfrm>
          <a:off x="781050" y="5286375"/>
          <a:ext cx="25717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34</xdr:row>
      <xdr:rowOff>28575</xdr:rowOff>
    </xdr:from>
    <xdr:to>
      <xdr:col>7</xdr:col>
      <xdr:colOff>114300</xdr:colOff>
      <xdr:row>35</xdr:row>
      <xdr:rowOff>133350</xdr:rowOff>
    </xdr:to>
    <xdr:sp>
      <xdr:nvSpPr>
        <xdr:cNvPr id="3" name="Oval 3"/>
        <xdr:cNvSpPr>
          <a:spLocks/>
        </xdr:cNvSpPr>
      </xdr:nvSpPr>
      <xdr:spPr>
        <a:xfrm>
          <a:off x="1438275" y="5286375"/>
          <a:ext cx="25717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38</xdr:row>
      <xdr:rowOff>28575</xdr:rowOff>
    </xdr:from>
    <xdr:to>
      <xdr:col>4</xdr:col>
      <xdr:colOff>114300</xdr:colOff>
      <xdr:row>39</xdr:row>
      <xdr:rowOff>133350</xdr:rowOff>
    </xdr:to>
    <xdr:sp>
      <xdr:nvSpPr>
        <xdr:cNvPr id="4" name="Oval 4"/>
        <xdr:cNvSpPr>
          <a:spLocks/>
        </xdr:cNvSpPr>
      </xdr:nvSpPr>
      <xdr:spPr>
        <a:xfrm>
          <a:off x="781050" y="5934075"/>
          <a:ext cx="25717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38</xdr:row>
      <xdr:rowOff>28575</xdr:rowOff>
    </xdr:from>
    <xdr:to>
      <xdr:col>7</xdr:col>
      <xdr:colOff>114300</xdr:colOff>
      <xdr:row>39</xdr:row>
      <xdr:rowOff>133350</xdr:rowOff>
    </xdr:to>
    <xdr:sp>
      <xdr:nvSpPr>
        <xdr:cNvPr id="5" name="Oval 5"/>
        <xdr:cNvSpPr>
          <a:spLocks/>
        </xdr:cNvSpPr>
      </xdr:nvSpPr>
      <xdr:spPr>
        <a:xfrm>
          <a:off x="1438275" y="5934075"/>
          <a:ext cx="25717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33</xdr:row>
      <xdr:rowOff>85725</xdr:rowOff>
    </xdr:from>
    <xdr:to>
      <xdr:col>8</xdr:col>
      <xdr:colOff>85725</xdr:colOff>
      <xdr:row>40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600075" y="5181600"/>
          <a:ext cx="1285875" cy="11430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42</xdr:row>
      <xdr:rowOff>38100</xdr:rowOff>
    </xdr:from>
    <xdr:to>
      <xdr:col>8</xdr:col>
      <xdr:colOff>133350</xdr:colOff>
      <xdr:row>42</xdr:row>
      <xdr:rowOff>38100</xdr:rowOff>
    </xdr:to>
    <xdr:sp>
      <xdr:nvSpPr>
        <xdr:cNvPr id="7" name="Line 7"/>
        <xdr:cNvSpPr>
          <a:spLocks/>
        </xdr:cNvSpPr>
      </xdr:nvSpPr>
      <xdr:spPr>
        <a:xfrm>
          <a:off x="542925" y="6591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41</xdr:row>
      <xdr:rowOff>142875</xdr:rowOff>
    </xdr:from>
    <xdr:to>
      <xdr:col>2</xdr:col>
      <xdr:colOff>114300</xdr:colOff>
      <xdr:row>42</xdr:row>
      <xdr:rowOff>104775</xdr:rowOff>
    </xdr:to>
    <xdr:sp>
      <xdr:nvSpPr>
        <xdr:cNvPr id="8" name="Line 8"/>
        <xdr:cNvSpPr>
          <a:spLocks/>
        </xdr:cNvSpPr>
      </xdr:nvSpPr>
      <xdr:spPr>
        <a:xfrm>
          <a:off x="600075" y="65341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142875</xdr:rowOff>
    </xdr:from>
    <xdr:to>
      <xdr:col>4</xdr:col>
      <xdr:colOff>0</xdr:colOff>
      <xdr:row>42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23925" y="65341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142875</xdr:rowOff>
    </xdr:from>
    <xdr:to>
      <xdr:col>7</xdr:col>
      <xdr:colOff>0</xdr:colOff>
      <xdr:row>42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581150" y="65341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41</xdr:row>
      <xdr:rowOff>142875</xdr:rowOff>
    </xdr:from>
    <xdr:to>
      <xdr:col>8</xdr:col>
      <xdr:colOff>66675</xdr:colOff>
      <xdr:row>42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866900" y="65341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152400</xdr:colOff>
      <xdr:row>41</xdr:row>
      <xdr:rowOff>38100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38175" y="642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41</xdr:row>
      <xdr:rowOff>38100</xdr:rowOff>
    </xdr:from>
    <xdr:ext cx="190500" cy="161925"/>
    <xdr:sp>
      <xdr:nvSpPr>
        <xdr:cNvPr id="13" name="Text Box 13"/>
        <xdr:cNvSpPr txBox="1">
          <a:spLocks noChangeArrowheads="1"/>
        </xdr:cNvSpPr>
      </xdr:nvSpPr>
      <xdr:spPr>
        <a:xfrm>
          <a:off x="1095375" y="6429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</a:t>
          </a:r>
        </a:p>
      </xdr:txBody>
    </xdr:sp>
    <xdr:clientData/>
  </xdr:oneCellAnchor>
  <xdr:oneCellAnchor>
    <xdr:from>
      <xdr:col>7</xdr:col>
      <xdr:colOff>28575</xdr:colOff>
      <xdr:row>41</xdr:row>
      <xdr:rowOff>28575</xdr:rowOff>
    </xdr:from>
    <xdr:ext cx="85725" cy="200025"/>
    <xdr:sp>
      <xdr:nvSpPr>
        <xdr:cNvPr id="14" name="Text Box 14"/>
        <xdr:cNvSpPr txBox="1">
          <a:spLocks noChangeArrowheads="1"/>
        </xdr:cNvSpPr>
      </xdr:nvSpPr>
      <xdr:spPr>
        <a:xfrm>
          <a:off x="1609725" y="6419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76200</xdr:colOff>
      <xdr:row>33</xdr:row>
      <xdr:rowOff>28575</xdr:rowOff>
    </xdr:from>
    <xdr:to>
      <xdr:col>10</xdr:col>
      <xdr:colOff>76200</xdr:colOff>
      <xdr:row>41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2314575" y="51244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28575</xdr:colOff>
      <xdr:row>33</xdr:row>
      <xdr:rowOff>123825</xdr:rowOff>
    </xdr:from>
    <xdr:ext cx="85725" cy="190500"/>
    <xdr:sp>
      <xdr:nvSpPr>
        <xdr:cNvPr id="16" name="Text Box 16"/>
        <xdr:cNvSpPr txBox="1">
          <a:spLocks noChangeArrowheads="1"/>
        </xdr:cNvSpPr>
      </xdr:nvSpPr>
      <xdr:spPr>
        <a:xfrm>
          <a:off x="2047875" y="5219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36</xdr:row>
      <xdr:rowOff>95250</xdr:rowOff>
    </xdr:from>
    <xdr:ext cx="190500" cy="161925"/>
    <xdr:sp>
      <xdr:nvSpPr>
        <xdr:cNvPr id="17" name="Text Box 17"/>
        <xdr:cNvSpPr txBox="1">
          <a:spLocks noChangeArrowheads="1"/>
        </xdr:cNvSpPr>
      </xdr:nvSpPr>
      <xdr:spPr>
        <a:xfrm>
          <a:off x="1971675" y="5676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</a:t>
          </a:r>
        </a:p>
      </xdr:txBody>
    </xdr:sp>
    <xdr:clientData/>
  </xdr:oneCellAnchor>
  <xdr:oneCellAnchor>
    <xdr:from>
      <xdr:col>9</xdr:col>
      <xdr:colOff>38100</xdr:colOff>
      <xdr:row>39</xdr:row>
      <xdr:rowOff>57150</xdr:rowOff>
    </xdr:from>
    <xdr:ext cx="85725" cy="190500"/>
    <xdr:sp>
      <xdr:nvSpPr>
        <xdr:cNvPr id="18" name="Text Box 18"/>
        <xdr:cNvSpPr txBox="1">
          <a:spLocks noChangeArrowheads="1"/>
        </xdr:cNvSpPr>
      </xdr:nvSpPr>
      <xdr:spPr>
        <a:xfrm>
          <a:off x="2057400" y="612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19050</xdr:colOff>
      <xdr:row>33</xdr:row>
      <xdr:rowOff>85725</xdr:rowOff>
    </xdr:from>
    <xdr:to>
      <xdr:col>10</xdr:col>
      <xdr:colOff>142875</xdr:colOff>
      <xdr:row>33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2257425" y="5181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35</xdr:row>
      <xdr:rowOff>0</xdr:rowOff>
    </xdr:from>
    <xdr:to>
      <xdr:col>10</xdr:col>
      <xdr:colOff>133350</xdr:colOff>
      <xdr:row>35</xdr:row>
      <xdr:rowOff>0</xdr:rowOff>
    </xdr:to>
    <xdr:sp>
      <xdr:nvSpPr>
        <xdr:cNvPr id="20" name="Line 20"/>
        <xdr:cNvSpPr>
          <a:spLocks/>
        </xdr:cNvSpPr>
      </xdr:nvSpPr>
      <xdr:spPr>
        <a:xfrm>
          <a:off x="2247900" y="5419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39</xdr:row>
      <xdr:rowOff>0</xdr:rowOff>
    </xdr:from>
    <xdr:to>
      <xdr:col>10</xdr:col>
      <xdr:colOff>142875</xdr:colOff>
      <xdr:row>39</xdr:row>
      <xdr:rowOff>0</xdr:rowOff>
    </xdr:to>
    <xdr:sp>
      <xdr:nvSpPr>
        <xdr:cNvPr id="21" name="Line 21"/>
        <xdr:cNvSpPr>
          <a:spLocks/>
        </xdr:cNvSpPr>
      </xdr:nvSpPr>
      <xdr:spPr>
        <a:xfrm>
          <a:off x="2257425" y="6067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40</xdr:row>
      <xdr:rowOff>85725</xdr:rowOff>
    </xdr:from>
    <xdr:to>
      <xdr:col>10</xdr:col>
      <xdr:colOff>133350</xdr:colOff>
      <xdr:row>40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2247900" y="6315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44</xdr:row>
      <xdr:rowOff>66675</xdr:rowOff>
    </xdr:from>
    <xdr:to>
      <xdr:col>17</xdr:col>
      <xdr:colOff>142875</xdr:colOff>
      <xdr:row>45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2295525" y="6943725"/>
          <a:ext cx="16192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54</xdr:row>
      <xdr:rowOff>19050</xdr:rowOff>
    </xdr:from>
    <xdr:to>
      <xdr:col>11</xdr:col>
      <xdr:colOff>123825</xdr:colOff>
      <xdr:row>55</xdr:row>
      <xdr:rowOff>104775</xdr:rowOff>
    </xdr:to>
    <xdr:sp>
      <xdr:nvSpPr>
        <xdr:cNvPr id="24" name="AutoShape 24"/>
        <xdr:cNvSpPr>
          <a:spLocks/>
        </xdr:cNvSpPr>
      </xdr:nvSpPr>
      <xdr:spPr>
        <a:xfrm>
          <a:off x="1885950" y="8534400"/>
          <a:ext cx="6953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58</xdr:row>
      <xdr:rowOff>28575</xdr:rowOff>
    </xdr:from>
    <xdr:to>
      <xdr:col>22</xdr:col>
      <xdr:colOff>95250</xdr:colOff>
      <xdr:row>59</xdr:row>
      <xdr:rowOff>104775</xdr:rowOff>
    </xdr:to>
    <xdr:sp>
      <xdr:nvSpPr>
        <xdr:cNvPr id="25" name="AutoShape 25"/>
        <xdr:cNvSpPr>
          <a:spLocks/>
        </xdr:cNvSpPr>
      </xdr:nvSpPr>
      <xdr:spPr>
        <a:xfrm>
          <a:off x="2333625" y="9210675"/>
          <a:ext cx="262890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19050</xdr:rowOff>
    </xdr:from>
    <xdr:to>
      <xdr:col>28</xdr:col>
      <xdr:colOff>47625</xdr:colOff>
      <xdr:row>1</xdr:row>
      <xdr:rowOff>152400</xdr:rowOff>
    </xdr:to>
    <xdr:grpSp>
      <xdr:nvGrpSpPr>
        <xdr:cNvPr id="26" name="Group 26"/>
        <xdr:cNvGrpSpPr>
          <a:grpSpLocks/>
        </xdr:cNvGrpSpPr>
      </xdr:nvGrpSpPr>
      <xdr:grpSpPr>
        <a:xfrm>
          <a:off x="333375" y="19050"/>
          <a:ext cx="5895975" cy="295275"/>
          <a:chOff x="35" y="2"/>
          <a:chExt cx="619" cy="31"/>
        </a:xfrm>
        <a:solidFill>
          <a:srgbClr val="FFFFFF"/>
        </a:solidFill>
      </xdr:grpSpPr>
      <xdr:sp>
        <xdr:nvSpPr>
          <xdr:cNvPr id="27" name="Rectangle 27"/>
          <xdr:cNvSpPr>
            <a:spLocks/>
          </xdr:cNvSpPr>
        </xdr:nvSpPr>
        <xdr:spPr>
          <a:xfrm>
            <a:off x="35" y="2"/>
            <a:ext cx="61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425" y="3"/>
            <a:ext cx="22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Doc     : BTN/SKSNI/TS/08-2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            :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40" y="11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Judul Dokument</a:t>
            </a:r>
          </a:p>
        </xdr:txBody>
      </xdr:sp>
      <xdr:sp>
        <xdr:nvSpPr>
          <xdr:cNvPr id="30" name="Text Box 30"/>
          <xdr:cNvSpPr txBox="1">
            <a:spLocks noChangeArrowheads="1"/>
          </xdr:cNvSpPr>
        </xdr:nvSpPr>
        <xdr:spPr>
          <a:xfrm>
            <a:off x="179" y="10"/>
            <a:ext cx="2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Daya Dukung Tiang Pancang</a:t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54" y="3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417" y="2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19050</xdr:rowOff>
    </xdr:from>
    <xdr:to>
      <xdr:col>13</xdr:col>
      <xdr:colOff>19050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33375" y="19050"/>
          <a:ext cx="5962650" cy="295275"/>
          <a:chOff x="35" y="2"/>
          <a:chExt cx="619" cy="3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5" y="2"/>
            <a:ext cx="61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5" y="3"/>
            <a:ext cx="22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Doc     : BTN/SKSNI/TS/08-3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            :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" y="11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Judul Dokument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79" y="10"/>
            <a:ext cx="2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Pondasi Pelat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54" y="3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17" y="2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9</xdr:col>
      <xdr:colOff>542925</xdr:colOff>
      <xdr:row>2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381000" y="47625"/>
          <a:ext cx="5972175" cy="295275"/>
          <a:chOff x="35" y="2"/>
          <a:chExt cx="619" cy="3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5" y="2"/>
            <a:ext cx="61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5" y="3"/>
            <a:ext cx="22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Doc     : BTN/SKSNI/TS/09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            :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" y="11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Judul Dokument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79" y="10"/>
            <a:ext cx="2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Konsol Pendek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54" y="3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17" y="2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56"/>
  <sheetViews>
    <sheetView showGridLines="0" zoomScalePageLayoutView="0" workbookViewId="0" topLeftCell="A2">
      <selection activeCell="E18" sqref="E18"/>
    </sheetView>
  </sheetViews>
  <sheetFormatPr defaultColWidth="9.140625" defaultRowHeight="12.75"/>
  <cols>
    <col min="1" max="1" width="3.421875" style="0" customWidth="1"/>
    <col min="2" max="2" width="33.421875" style="0" customWidth="1"/>
    <col min="3" max="3" width="22.421875" style="0" customWidth="1"/>
    <col min="4" max="4" width="18.140625" style="0" customWidth="1"/>
    <col min="5" max="5" width="40.7109375" style="0" customWidth="1"/>
  </cols>
  <sheetData>
    <row r="2" ht="20.25">
      <c r="B2" s="1" t="s">
        <v>0</v>
      </c>
    </row>
    <row r="4" spans="2:5" ht="12.75">
      <c r="B4" s="2" t="s">
        <v>1</v>
      </c>
      <c r="C4" s="2" t="s">
        <v>2</v>
      </c>
      <c r="D4" s="2" t="s">
        <v>3</v>
      </c>
      <c r="E4" s="2" t="s">
        <v>4</v>
      </c>
    </row>
    <row r="6" spans="1:4" ht="12.75">
      <c r="A6">
        <v>1</v>
      </c>
      <c r="B6" t="s">
        <v>5</v>
      </c>
      <c r="C6" t="s">
        <v>6</v>
      </c>
      <c r="D6" t="s">
        <v>370</v>
      </c>
    </row>
    <row r="7" spans="1:4" ht="12.75">
      <c r="A7">
        <v>2</v>
      </c>
      <c r="B7" t="s">
        <v>7</v>
      </c>
      <c r="C7" t="s">
        <v>8</v>
      </c>
      <c r="D7" t="s">
        <v>371</v>
      </c>
    </row>
    <row r="8" spans="1:4" ht="12.75">
      <c r="A8">
        <v>3</v>
      </c>
      <c r="B8" t="s">
        <v>456</v>
      </c>
      <c r="C8" t="s">
        <v>457</v>
      </c>
      <c r="D8" t="s">
        <v>458</v>
      </c>
    </row>
    <row r="9" spans="1:4" ht="12.75">
      <c r="A9">
        <v>4</v>
      </c>
      <c r="B9" t="s">
        <v>9</v>
      </c>
      <c r="C9" t="s">
        <v>10</v>
      </c>
      <c r="D9" t="s">
        <v>11</v>
      </c>
    </row>
    <row r="10" spans="1:4" ht="12.75">
      <c r="A10">
        <v>5</v>
      </c>
      <c r="B10" t="s">
        <v>12</v>
      </c>
      <c r="C10" t="s">
        <v>13</v>
      </c>
      <c r="D10" t="s">
        <v>549</v>
      </c>
    </row>
    <row r="11" spans="1:4" ht="12.75">
      <c r="A11">
        <v>6</v>
      </c>
      <c r="B11" t="s">
        <v>14</v>
      </c>
      <c r="C11" t="s">
        <v>15</v>
      </c>
      <c r="D11" t="s">
        <v>16</v>
      </c>
    </row>
    <row r="12" spans="1:4" ht="12.75">
      <c r="A12">
        <v>7</v>
      </c>
      <c r="B12" t="s">
        <v>17</v>
      </c>
      <c r="C12" t="s">
        <v>18</v>
      </c>
      <c r="D12" t="s">
        <v>19</v>
      </c>
    </row>
    <row r="13" spans="1:4" ht="12.75">
      <c r="A13">
        <v>8</v>
      </c>
      <c r="B13" t="s">
        <v>453</v>
      </c>
      <c r="C13" t="s">
        <v>454</v>
      </c>
      <c r="D13" t="s">
        <v>455</v>
      </c>
    </row>
    <row r="14" spans="1:4" ht="12.75">
      <c r="A14">
        <v>9</v>
      </c>
      <c r="B14" t="s">
        <v>20</v>
      </c>
      <c r="C14" t="s">
        <v>21</v>
      </c>
      <c r="D14" t="s">
        <v>22</v>
      </c>
    </row>
    <row r="20" spans="2:5" ht="12.75">
      <c r="B20" s="3"/>
      <c r="C20" s="3"/>
      <c r="D20" s="3"/>
      <c r="E20" s="3"/>
    </row>
    <row r="23" ht="12.75">
      <c r="B23" s="4" t="s">
        <v>23</v>
      </c>
    </row>
    <row r="25" ht="12.75">
      <c r="B25" s="5" t="s">
        <v>24</v>
      </c>
    </row>
    <row r="27" ht="12.75">
      <c r="B27" s="6" t="s">
        <v>25</v>
      </c>
    </row>
    <row r="28" ht="12.75">
      <c r="B28" s="6" t="s">
        <v>26</v>
      </c>
    </row>
    <row r="29" ht="12.75">
      <c r="B29" s="6" t="s">
        <v>27</v>
      </c>
    </row>
    <row r="30" ht="12.75">
      <c r="B30" s="6" t="s">
        <v>28</v>
      </c>
    </row>
    <row r="31" ht="12.75">
      <c r="B31" s="6" t="s">
        <v>29</v>
      </c>
    </row>
    <row r="32" ht="12.75">
      <c r="B32" s="6" t="s">
        <v>30</v>
      </c>
    </row>
    <row r="33" ht="12.75">
      <c r="B33" s="6" t="s">
        <v>31</v>
      </c>
    </row>
    <row r="34" ht="12.75">
      <c r="B34" s="6" t="s">
        <v>32</v>
      </c>
    </row>
    <row r="35" ht="12.75">
      <c r="B35" s="6" t="s">
        <v>33</v>
      </c>
    </row>
    <row r="36" ht="12.75">
      <c r="B36" s="6" t="s">
        <v>34</v>
      </c>
    </row>
    <row r="37" ht="12.75">
      <c r="B37" s="6" t="s">
        <v>35</v>
      </c>
    </row>
    <row r="38" ht="12.75">
      <c r="B38" s="6" t="s">
        <v>36</v>
      </c>
    </row>
    <row r="39" ht="12.75">
      <c r="B39" s="6" t="s">
        <v>37</v>
      </c>
    </row>
    <row r="40" ht="12.75">
      <c r="B40" s="6" t="s">
        <v>38</v>
      </c>
    </row>
    <row r="41" ht="12.75">
      <c r="B41" s="6" t="s">
        <v>39</v>
      </c>
    </row>
    <row r="44" ht="12.75">
      <c r="B44" t="s">
        <v>372</v>
      </c>
    </row>
    <row r="46" spans="2:3" ht="12.75">
      <c r="B46" s="28" t="s">
        <v>383</v>
      </c>
      <c r="C46" s="28" t="s">
        <v>382</v>
      </c>
    </row>
    <row r="48" ht="12.75">
      <c r="B48" t="s">
        <v>373</v>
      </c>
    </row>
    <row r="49" ht="12.75">
      <c r="B49" t="s">
        <v>378</v>
      </c>
    </row>
    <row r="50" ht="12.75">
      <c r="B50" t="s">
        <v>379</v>
      </c>
    </row>
    <row r="51" ht="12.75">
      <c r="B51" t="s">
        <v>380</v>
      </c>
    </row>
    <row r="52" ht="12.75">
      <c r="B52" t="s">
        <v>381</v>
      </c>
    </row>
    <row r="53" ht="12.75">
      <c r="B53" t="s">
        <v>374</v>
      </c>
    </row>
    <row r="54" ht="12.75">
      <c r="B54" t="s">
        <v>375</v>
      </c>
    </row>
    <row r="55" ht="12.75">
      <c r="B55" t="s">
        <v>376</v>
      </c>
    </row>
    <row r="56" ht="12.75">
      <c r="B56" t="s">
        <v>377</v>
      </c>
    </row>
  </sheetData>
  <sheetProtection/>
  <protectedRanges>
    <protectedRange password="CC09" sqref="B6:D14" name="Range1"/>
  </protectedRanges>
  <printOptions/>
  <pageMargins left="0.75" right="0.75" top="1" bottom="1" header="0.5" footer="0.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B4:P50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1" max="1" width="5.421875" style="0" customWidth="1"/>
    <col min="2" max="2" width="7.57421875" style="0" customWidth="1"/>
    <col min="3" max="3" width="4.140625" style="0" customWidth="1"/>
    <col min="4" max="4" width="27.8515625" style="0" customWidth="1"/>
    <col min="6" max="6" width="11.140625" style="0" customWidth="1"/>
    <col min="7" max="7" width="10.28125" style="0" customWidth="1"/>
    <col min="8" max="8" width="8.57421875" style="0" customWidth="1"/>
    <col min="9" max="9" width="3.00390625" style="0" customWidth="1"/>
  </cols>
  <sheetData>
    <row r="4" spans="2:4" ht="22.5">
      <c r="B4" s="10" t="str">
        <f>"PERHITUNGAN KONSOL PENDEK"</f>
        <v>PERHITUNGAN KONSOL PENDEK</v>
      </c>
      <c r="C4" s="11"/>
      <c r="D4" s="11"/>
    </row>
    <row r="5" spans="2:7" ht="15.75">
      <c r="B5" s="9"/>
      <c r="C5" s="9"/>
      <c r="D5" s="9"/>
      <c r="G5" s="12"/>
    </row>
    <row r="6" spans="2:4" ht="15">
      <c r="B6" s="13" t="s">
        <v>20</v>
      </c>
      <c r="C6" s="25"/>
      <c r="D6" s="25"/>
    </row>
    <row r="7" spans="2:16" ht="12.75">
      <c r="B7" s="23" t="s">
        <v>50</v>
      </c>
      <c r="C7" s="40" t="s">
        <v>46</v>
      </c>
      <c r="D7" s="223">
        <v>350</v>
      </c>
      <c r="E7" s="7" t="s">
        <v>71</v>
      </c>
      <c r="F7" s="29" t="s">
        <v>43</v>
      </c>
      <c r="G7" s="224">
        <v>25</v>
      </c>
      <c r="H7" t="s">
        <v>44</v>
      </c>
      <c r="K7" s="23"/>
      <c r="L7" s="40"/>
      <c r="M7" s="223"/>
      <c r="N7" s="7"/>
      <c r="O7" s="29"/>
      <c r="P7" s="224"/>
    </row>
    <row r="8" spans="2:16" ht="12.75">
      <c r="B8" s="23" t="s">
        <v>51</v>
      </c>
      <c r="C8" s="40" t="s">
        <v>46</v>
      </c>
      <c r="D8" s="224">
        <f>D7*2</f>
        <v>700</v>
      </c>
      <c r="E8" s="7" t="s">
        <v>71</v>
      </c>
      <c r="F8" s="29" t="s">
        <v>72</v>
      </c>
      <c r="G8" s="224">
        <v>350</v>
      </c>
      <c r="H8" t="s">
        <v>44</v>
      </c>
      <c r="K8" s="23"/>
      <c r="L8" s="40"/>
      <c r="M8" s="224"/>
      <c r="N8" s="7"/>
      <c r="O8" s="29"/>
      <c r="P8" s="224"/>
    </row>
    <row r="9" spans="2:16" ht="12.75">
      <c r="B9" s="18" t="s">
        <v>48</v>
      </c>
      <c r="C9" s="40" t="s">
        <v>46</v>
      </c>
      <c r="D9" s="224">
        <f>D7/2</f>
        <v>175</v>
      </c>
      <c r="E9" s="7" t="s">
        <v>71</v>
      </c>
      <c r="F9" s="225" t="s">
        <v>248</v>
      </c>
      <c r="G9" s="224">
        <v>150</v>
      </c>
      <c r="H9" t="s">
        <v>71</v>
      </c>
      <c r="I9" s="5" t="s">
        <v>264</v>
      </c>
      <c r="K9" s="18"/>
      <c r="L9" s="40"/>
      <c r="M9" s="224"/>
      <c r="N9" s="7"/>
      <c r="O9" s="225"/>
      <c r="P9" s="224"/>
    </row>
    <row r="10" spans="2:13" ht="12.75">
      <c r="B10" s="7" t="s">
        <v>265</v>
      </c>
      <c r="C10" s="40" t="s">
        <v>46</v>
      </c>
      <c r="D10" s="223">
        <v>30672</v>
      </c>
      <c r="E10" t="s">
        <v>97</v>
      </c>
      <c r="F10" t="s">
        <v>266</v>
      </c>
      <c r="G10" s="4">
        <v>500</v>
      </c>
      <c r="H10" t="s">
        <v>71</v>
      </c>
      <c r="K10" s="7"/>
      <c r="L10" s="40"/>
      <c r="M10" s="223"/>
    </row>
    <row r="11" spans="2:13" ht="12.75">
      <c r="B11" s="7" t="s">
        <v>267</v>
      </c>
      <c r="C11" s="40" t="s">
        <v>46</v>
      </c>
      <c r="D11" s="223">
        <v>118.16</v>
      </c>
      <c r="E11" t="s">
        <v>97</v>
      </c>
      <c r="K11" s="7"/>
      <c r="L11" s="40"/>
      <c r="M11" s="223"/>
    </row>
    <row r="12" spans="2:4" ht="12.75">
      <c r="B12" s="217"/>
      <c r="C12" s="25"/>
      <c r="D12" s="25"/>
    </row>
    <row r="13" ht="15">
      <c r="B13" s="226" t="s">
        <v>268</v>
      </c>
    </row>
    <row r="14" spans="2:6" ht="12.75">
      <c r="B14" s="8" t="s">
        <v>269</v>
      </c>
      <c r="F14" s="8" t="str">
        <f>D41</f>
        <v>6 D13</v>
      </c>
    </row>
    <row r="15" spans="2:6" ht="12.75">
      <c r="B15" s="8" t="s">
        <v>270</v>
      </c>
      <c r="F15" s="8" t="str">
        <f>D45&amp;" - "&amp;FIXED(F46,0)&amp;" mm"</f>
        <v>4 D8 - 122 mm</v>
      </c>
    </row>
    <row r="16" spans="2:8" ht="12.75">
      <c r="B16" s="8" t="s">
        <v>271</v>
      </c>
      <c r="E16" t="s">
        <v>272</v>
      </c>
      <c r="F16" s="227">
        <f>IF(F42&gt;D7,F42,G10)</f>
        <v>500</v>
      </c>
      <c r="G16" t="s">
        <v>71</v>
      </c>
      <c r="H16" s="5"/>
    </row>
    <row r="17" spans="2:6" ht="12.75">
      <c r="B17" s="8" t="s">
        <v>273</v>
      </c>
      <c r="F17" s="8" t="str">
        <f>F50&amp;"x"&amp;F50&amp;" mm"</f>
        <v>143,6x143,6 mm</v>
      </c>
    </row>
    <row r="19" spans="2:7" ht="12.75">
      <c r="B19" t="s">
        <v>274</v>
      </c>
      <c r="C19" s="18" t="s">
        <v>46</v>
      </c>
      <c r="D19" t="str">
        <f>D10&amp;"x10"</f>
        <v>30672x10</v>
      </c>
      <c r="E19" s="18" t="s">
        <v>46</v>
      </c>
      <c r="F19" s="228">
        <f>D10*10</f>
        <v>306720</v>
      </c>
      <c r="G19" s="16" t="s">
        <v>275</v>
      </c>
    </row>
    <row r="20" spans="2:7" ht="12.75">
      <c r="B20" t="s">
        <v>276</v>
      </c>
      <c r="C20" s="18" t="s">
        <v>46</v>
      </c>
      <c r="D20" t="str">
        <f>IF(D11=0,F19&amp;"x20%+"&amp;F19,D11&amp;"x10^4")</f>
        <v>118,16x10^4</v>
      </c>
      <c r="E20" s="18" t="s">
        <v>46</v>
      </c>
      <c r="F20" s="228">
        <f>IF(D11=0,F19*20%+F19,D11*10)</f>
        <v>1181.6</v>
      </c>
      <c r="G20" s="16" t="s">
        <v>275</v>
      </c>
    </row>
    <row r="21" spans="2:7" ht="12.75">
      <c r="B21" t="s">
        <v>93</v>
      </c>
      <c r="C21" s="18" t="s">
        <v>46</v>
      </c>
      <c r="D21" t="str">
        <f>D8&amp;"-"&amp;G9</f>
        <v>700-150</v>
      </c>
      <c r="E21" s="18" t="s">
        <v>46</v>
      </c>
      <c r="F21" s="228">
        <f>D8-G9</f>
        <v>550</v>
      </c>
      <c r="G21" t="s">
        <v>71</v>
      </c>
    </row>
    <row r="22" ht="12.75">
      <c r="B22" s="17" t="s">
        <v>277</v>
      </c>
    </row>
    <row r="23" spans="2:7" ht="12.75">
      <c r="B23" t="s">
        <v>278</v>
      </c>
      <c r="C23" s="18" t="s">
        <v>46</v>
      </c>
      <c r="D23" t="str">
        <f>"0.2x"&amp;G7&amp;"x"&amp;D7&amp;"x"&amp;F21</f>
        <v>0.2x25x350x550</v>
      </c>
      <c r="E23" s="18" t="s">
        <v>46</v>
      </c>
      <c r="F23">
        <f>0.2*G7*D7*F21</f>
        <v>962500</v>
      </c>
      <c r="G23" t="s">
        <v>275</v>
      </c>
    </row>
    <row r="24" spans="2:7" ht="12.75">
      <c r="B24" t="s">
        <v>279</v>
      </c>
      <c r="C24" s="18" t="s">
        <v>46</v>
      </c>
      <c r="D24" t="str">
        <f>"5.5x"&amp;D7&amp;"x"&amp;F21</f>
        <v>5.5x350x550</v>
      </c>
      <c r="E24" s="18" t="s">
        <v>46</v>
      </c>
      <c r="F24">
        <f>5.5*D7*F21</f>
        <v>1058750</v>
      </c>
      <c r="G24" t="s">
        <v>275</v>
      </c>
    </row>
    <row r="25" spans="2:6" ht="12.75">
      <c r="B25" t="s">
        <v>280</v>
      </c>
      <c r="C25" s="18" t="s">
        <v>46</v>
      </c>
      <c r="D25" t="str">
        <f>F19&amp;"/0.6"</f>
        <v>306720/0.6</v>
      </c>
      <c r="E25" s="18" t="s">
        <v>46</v>
      </c>
      <c r="F25" s="44">
        <f>F19/0.6</f>
        <v>511200</v>
      </c>
    </row>
    <row r="26" spans="2:5" ht="12.75">
      <c r="B26" s="24"/>
      <c r="C26" s="16" t="str">
        <f>FIXED(F25,0)&amp;" "&amp;IF(F25&lt;F23," &lt; ","&gt; ")&amp;F23</f>
        <v>511.200  &lt; 962500</v>
      </c>
      <c r="E26" s="18"/>
    </row>
    <row r="27" spans="3:6" ht="12.75">
      <c r="C27" s="16" t="str">
        <f>FIXED(F25,0)&amp;" "&amp;IF(F25&lt;F24," &lt; ","&gt; ")&amp;F24</f>
        <v>511.200  &lt; 1058750</v>
      </c>
      <c r="E27" s="229" t="s">
        <v>281</v>
      </c>
      <c r="F27" s="4" t="str">
        <f>IF(F25&lt;AND(F23,F24)," OK ","Tidak OK")</f>
        <v> OK </v>
      </c>
    </row>
    <row r="28" spans="2:5" ht="12.75">
      <c r="B28" s="17" t="s">
        <v>282</v>
      </c>
      <c r="C28" s="18"/>
      <c r="E28" s="18"/>
    </row>
    <row r="29" spans="2:7" ht="12.75">
      <c r="B29" t="s">
        <v>283</v>
      </c>
      <c r="C29" s="18" t="s">
        <v>46</v>
      </c>
      <c r="D29" t="str">
        <f>FIXED(F25,0)&amp;"/(1.4x"&amp;G8&amp;")"</f>
        <v>511.200/(1.4x350)</v>
      </c>
      <c r="E29" s="18" t="s">
        <v>46</v>
      </c>
      <c r="F29" s="44">
        <f>F25/(1.4*G8)</f>
        <v>1043.2653061224491</v>
      </c>
      <c r="G29" t="s">
        <v>76</v>
      </c>
    </row>
    <row r="30" spans="2:6" ht="12.75">
      <c r="B30" s="17" t="s">
        <v>284</v>
      </c>
      <c r="F30" s="44"/>
    </row>
    <row r="31" spans="2:7" ht="12.75">
      <c r="B31" t="s">
        <v>74</v>
      </c>
      <c r="C31" s="18" t="s">
        <v>46</v>
      </c>
      <c r="D31" t="str">
        <f>F19&amp;"x"&amp;D9&amp;"+"&amp;F20*1000&amp;"x"&amp;F21</f>
        <v>306720x175+1181600x550</v>
      </c>
      <c r="E31" s="18" t="s">
        <v>46</v>
      </c>
      <c r="F31" s="44">
        <f>F19*D9+F20*F21</f>
        <v>54325880</v>
      </c>
      <c r="G31" t="s">
        <v>285</v>
      </c>
    </row>
    <row r="32" spans="2:7" ht="12.75">
      <c r="B32" t="s">
        <v>286</v>
      </c>
      <c r="C32" s="18" t="s">
        <v>46</v>
      </c>
      <c r="D32" t="str">
        <f>F31&amp;"/(0.65x"&amp;G8&amp;"x0.85x"&amp;F21&amp;")"</f>
        <v>54325880/(0.65x350x0.85x550)</v>
      </c>
      <c r="E32" s="18" t="s">
        <v>46</v>
      </c>
      <c r="F32" s="44">
        <f>F31/(0.65*G8*0.85*F21)</f>
        <v>510.7916083916084</v>
      </c>
      <c r="G32" t="s">
        <v>76</v>
      </c>
    </row>
    <row r="33" spans="2:6" ht="12.75">
      <c r="B33" s="17" t="s">
        <v>287</v>
      </c>
      <c r="F33" s="44"/>
    </row>
    <row r="34" spans="2:6" ht="12.75">
      <c r="B34" t="s">
        <v>288</v>
      </c>
      <c r="C34" s="18" t="s">
        <v>46</v>
      </c>
      <c r="D34" t="str">
        <f>F20&amp;" /(0.65 x "&amp;G8&amp;")"</f>
        <v>1181,6 /(0.65 x 350)</v>
      </c>
      <c r="E34" s="18" t="s">
        <v>46</v>
      </c>
      <c r="F34" s="44">
        <f>F20/(0.65*G8)</f>
        <v>5.193846153846153</v>
      </c>
    </row>
    <row r="35" spans="2:6" ht="12.75">
      <c r="B35" s="17" t="s">
        <v>289</v>
      </c>
      <c r="F35" s="44"/>
    </row>
    <row r="36" spans="2:6" ht="12.75">
      <c r="B36" t="s">
        <v>290</v>
      </c>
      <c r="F36" s="44"/>
    </row>
    <row r="37" spans="2:7" ht="12.75">
      <c r="B37" s="8" t="s">
        <v>291</v>
      </c>
      <c r="C37" s="18" t="s">
        <v>46</v>
      </c>
      <c r="D37" t="str">
        <f>FIXED(F32,2)&amp;"+"&amp;FIXED(F34,2)</f>
        <v>510,79+5,19</v>
      </c>
      <c r="E37" s="18" t="s">
        <v>46</v>
      </c>
      <c r="F37" s="44">
        <f>F32+F34</f>
        <v>515.9854545454546</v>
      </c>
      <c r="G37" t="s">
        <v>76</v>
      </c>
    </row>
    <row r="38" spans="2:7" ht="12.75">
      <c r="B38" s="8" t="s">
        <v>292</v>
      </c>
      <c r="C38" s="18" t="s">
        <v>46</v>
      </c>
      <c r="D38" t="str">
        <f>"2/3x"&amp;FIXED(F29,2)&amp;"+"&amp;FIXED(F34,2)</f>
        <v>2/3x1.043,27+5,19</v>
      </c>
      <c r="E38" s="18" t="s">
        <v>46</v>
      </c>
      <c r="F38" s="44">
        <f>2/3*F29+F34</f>
        <v>700.7040502354789</v>
      </c>
      <c r="G38" t="s">
        <v>76</v>
      </c>
    </row>
    <row r="39" spans="2:7" ht="12.75">
      <c r="B39" t="s">
        <v>293</v>
      </c>
      <c r="C39" s="18" t="s">
        <v>46</v>
      </c>
      <c r="D39" t="str">
        <f>"0.04x"&amp;G7&amp;"/"&amp;G8&amp;"x"&amp;D7&amp;"x"&amp;F21</f>
        <v>0.04x25/350x350x550</v>
      </c>
      <c r="E39" s="18" t="s">
        <v>46</v>
      </c>
      <c r="F39" s="41">
        <f>0.04*G7/G8*D7*F21</f>
        <v>550</v>
      </c>
      <c r="G39" t="s">
        <v>76</v>
      </c>
    </row>
    <row r="40" spans="2:7" ht="12.75">
      <c r="B40" t="s">
        <v>294</v>
      </c>
      <c r="E40" s="18" t="s">
        <v>46</v>
      </c>
      <c r="F40" s="44">
        <f>ABS(MAX(F37:F39))</f>
        <v>700.7040502354789</v>
      </c>
      <c r="G40" t="s">
        <v>76</v>
      </c>
    </row>
    <row r="41" spans="4:6" ht="12.75">
      <c r="D41" s="230" t="s">
        <v>95</v>
      </c>
      <c r="E41" s="231" t="str">
        <f>IF(F40&lt;ABS(IF(MID(D41,2,1)=" ",FIXED(LEFT(D41,1)*0.25*PI()*MID(D41,4,2)^2,1),FIXED(LEFT(D41,2)*0.25*PI()*MID(D41,5,2)^2,1))),IF(MID(D41,2,1)=" ",FIXED(LEFT(D41,1)*0.25*PI()*MID(D41,4,2)^2,1),FIXED(LEFT(D41,2)*0.25*PI()*MID(D41,5,2)^2,1))&amp;" mm2","(not)")</f>
        <v>796,4 mm2</v>
      </c>
      <c r="F41" s="232"/>
    </row>
    <row r="42" spans="2:7" ht="12.75">
      <c r="B42" t="s">
        <v>295</v>
      </c>
      <c r="C42" s="18" t="s">
        <v>46</v>
      </c>
      <c r="D42" s="225" t="str">
        <f>LEFT(D41,2)-1&amp;"x(3x"&amp;IF(MID(D41,2,1)=" ",MID(D41,4,2),MID(D41,5,2))&amp;")+"&amp;LEFT(D41,2)&amp;"x"&amp;IF(MID(D41,2,1)=" ",MID(D41,4,2),MID(D41,5,2))&amp;"+50"</f>
        <v>5x(3x13)+6 x13+50</v>
      </c>
      <c r="E42" s="18" t="s">
        <v>46</v>
      </c>
      <c r="F42" s="227">
        <f>(LEFT(D41,2)-1)*(3*IF(MID(D41,2,1)=" ",MID(D41,4,2),MID(D41,5,2)))+LEFT(D41,2)*IF(MID(D41,2,1)=" ",MID(D41,4,2),MID(D41,5,2))+50</f>
        <v>323</v>
      </c>
      <c r="G42" s="16" t="s">
        <v>71</v>
      </c>
    </row>
    <row r="43" ht="12.75">
      <c r="B43" s="17" t="s">
        <v>296</v>
      </c>
    </row>
    <row r="44" spans="2:7" ht="12.75">
      <c r="B44" t="s">
        <v>297</v>
      </c>
      <c r="C44" s="18" t="s">
        <v>46</v>
      </c>
      <c r="D44" t="str">
        <f>"0.5x("&amp;FIXED(F40,0)&amp;"-"&amp;FIXED(F34,0)&amp;")"</f>
        <v>0.5x(701-5)</v>
      </c>
      <c r="E44" s="18" t="s">
        <v>46</v>
      </c>
      <c r="F44" s="44">
        <f>0.5*(F40-F34)</f>
        <v>347.7551020408164</v>
      </c>
      <c r="G44" t="s">
        <v>76</v>
      </c>
    </row>
    <row r="45" spans="3:6" ht="12.75">
      <c r="C45" s="18"/>
      <c r="D45" s="230" t="s">
        <v>298</v>
      </c>
      <c r="E45" s="231" t="str">
        <f>IF(ABS((IF(MID(D45,2,1)=" ",LEFT(D45,1)*0.25*3.14*MID(D45,4,2)^2,LEFT(D45,2)*0.25*3.14*MID(D45,5,2)^2)*2))&gt;F44,(IF(MID(D45,2,1)=" ",LEFT(D45,1)*0.25*3.14*MID(D45,4,2)^2,LEFT(D45,2)*0.25*3.14*MID(D45,5,2)^2)*2)&amp;" mm2","not")</f>
        <v>401,92 mm2</v>
      </c>
      <c r="F45" s="44"/>
    </row>
    <row r="46" spans="2:7" ht="12.75">
      <c r="B46" t="s">
        <v>49</v>
      </c>
      <c r="C46" s="18" t="s">
        <v>46</v>
      </c>
      <c r="D46" s="225" t="str">
        <f>"2/3 x "&amp;F21&amp;"/"&amp;(LEFT(D45,2)-1)</f>
        <v>2/3 x 550/3</v>
      </c>
      <c r="E46" s="18" t="s">
        <v>46</v>
      </c>
      <c r="F46" s="44">
        <f>2/3*F21/(LEFT(D45,2)-1)</f>
        <v>122.22222222222221</v>
      </c>
      <c r="G46" s="16" t="s">
        <v>71</v>
      </c>
    </row>
    <row r="47" spans="3:6" ht="12.75">
      <c r="C47" s="18"/>
      <c r="D47" s="230"/>
      <c r="E47" s="231"/>
      <c r="F47" s="44"/>
    </row>
    <row r="48" ht="12.75">
      <c r="B48" s="17" t="s">
        <v>299</v>
      </c>
    </row>
    <row r="49" spans="2:7" ht="12.75">
      <c r="B49" t="s">
        <v>300</v>
      </c>
      <c r="C49" s="18" t="s">
        <v>46</v>
      </c>
      <c r="D49" t="str">
        <f>F19&amp;" /(0.7x 0.85 "&amp;G7&amp;")"</f>
        <v>306720 /(0.7x 0.85 25)</v>
      </c>
      <c r="E49" s="18" t="s">
        <v>46</v>
      </c>
      <c r="F49" s="44">
        <f>F19/(0.7*0.85*G7)</f>
        <v>20619.831932773108</v>
      </c>
      <c r="G49" t="s">
        <v>76</v>
      </c>
    </row>
    <row r="50" spans="2:6" ht="12.75">
      <c r="B50" t="s">
        <v>301</v>
      </c>
      <c r="F50" t="str">
        <f>FIXED(SQRT(F49),1)</f>
        <v>143,6</v>
      </c>
    </row>
  </sheetData>
  <sheetProtection/>
  <printOptions/>
  <pageMargins left="1.39" right="0.51" top="1.66" bottom="1.01" header="0.79" footer="0.89"/>
  <pageSetup horizontalDpi="300" verticalDpi="300" orientation="portrait" paperSize="9" scale="80" r:id="rId2"/>
  <headerFooter alignWithMargins="0">
    <oddFooter>&amp;C&amp;9HAL B-&amp;P&amp;R&amp;"Arial Narrow,Italic"&amp;8GEDUNG DAKWAH MUHAMMADIYAH
KABUPATEN GRESIK
ALCO - TS/21JAN2008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3:AF201"/>
  <sheetViews>
    <sheetView showGridLines="0" tabSelected="1" zoomScaleSheetLayoutView="85" zoomScalePageLayoutView="0" workbookViewId="0" topLeftCell="A187">
      <selection activeCell="U193" sqref="U193"/>
    </sheetView>
  </sheetViews>
  <sheetFormatPr defaultColWidth="9.140625" defaultRowHeight="12.75"/>
  <cols>
    <col min="1" max="1" width="4.00390625" style="0" customWidth="1"/>
    <col min="2" max="7" width="2.7109375" style="0" customWidth="1"/>
    <col min="8" max="8" width="6.7109375" style="0" customWidth="1"/>
    <col min="9" max="9" width="3.140625" style="0" customWidth="1"/>
    <col min="10" max="11" width="2.7109375" style="0" customWidth="1"/>
    <col min="12" max="12" width="4.140625" style="0" customWidth="1"/>
    <col min="13" max="13" width="6.7109375" style="0" customWidth="1"/>
    <col min="14" max="20" width="2.7109375" style="0" customWidth="1"/>
    <col min="21" max="21" width="6.7109375" style="0" customWidth="1"/>
    <col min="22" max="29" width="2.7109375" style="0" customWidth="1"/>
    <col min="30" max="30" width="3.140625" style="81" customWidth="1"/>
    <col min="31" max="31" width="3.140625" style="0" customWidth="1"/>
    <col min="32" max="32" width="3.00390625" style="0" customWidth="1"/>
  </cols>
  <sheetData>
    <row r="1" ht="12.75"/>
    <row r="2" ht="12.75"/>
    <row r="3" spans="1:3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48"/>
      <c r="AE3" s="7"/>
      <c r="AF3" s="7"/>
    </row>
    <row r="4" spans="1:32" ht="15.75">
      <c r="A4" s="7"/>
      <c r="B4" s="49" t="str">
        <f>"PENULANGAN KOLOM K1  ("&amp;K12&amp;"x"&amp;K13&amp;")"</f>
        <v>PENULANGAN KOLOM K1  (30x30)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48"/>
      <c r="AE4" s="7"/>
      <c r="AF4" s="7"/>
    </row>
    <row r="5" spans="1:3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48"/>
      <c r="AE5" s="7"/>
      <c r="AF5" s="7"/>
    </row>
    <row r="6" spans="1:32" ht="12.75">
      <c r="A6" s="7"/>
      <c r="B6" s="7"/>
      <c r="C6" s="7" t="s">
        <v>98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48"/>
      <c r="AE6" s="7"/>
      <c r="AF6" s="7"/>
    </row>
    <row r="7" spans="1:32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48"/>
      <c r="AE7" s="7"/>
      <c r="AF7" s="7"/>
    </row>
    <row r="8" spans="1:32" ht="12.75">
      <c r="A8" s="7"/>
      <c r="B8" s="7"/>
      <c r="C8" s="7"/>
      <c r="D8" s="7"/>
      <c r="E8" s="7"/>
      <c r="F8" s="7"/>
      <c r="G8" s="7"/>
      <c r="H8" s="7"/>
      <c r="I8" s="7" t="s">
        <v>99</v>
      </c>
      <c r="J8" s="7"/>
      <c r="K8" s="369">
        <v>9438.03</v>
      </c>
      <c r="L8" s="369"/>
      <c r="M8" s="369"/>
      <c r="N8" s="369"/>
      <c r="O8" s="7" t="s">
        <v>97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48"/>
      <c r="AE8" s="7"/>
      <c r="AF8" s="7"/>
    </row>
    <row r="9" spans="1:32" ht="12.75">
      <c r="A9" s="7"/>
      <c r="B9" s="7"/>
      <c r="C9" s="7"/>
      <c r="D9" s="7"/>
      <c r="E9" s="7"/>
      <c r="F9" s="7"/>
      <c r="G9" s="7"/>
      <c r="H9" s="7"/>
      <c r="I9" s="7" t="s">
        <v>100</v>
      </c>
      <c r="J9" s="7"/>
      <c r="K9" s="374">
        <v>300.473</v>
      </c>
      <c r="L9" s="374"/>
      <c r="M9" s="374"/>
      <c r="N9" s="374"/>
      <c r="O9" s="7" t="s">
        <v>101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48"/>
      <c r="AE9" s="7"/>
      <c r="AF9" s="7"/>
    </row>
    <row r="10" spans="1:32" ht="12.75">
      <c r="A10" s="7"/>
      <c r="B10" s="7"/>
      <c r="C10" s="7"/>
      <c r="D10" s="7"/>
      <c r="E10" s="7"/>
      <c r="F10" s="7"/>
      <c r="G10" s="7"/>
      <c r="H10" s="7"/>
      <c r="I10" s="7" t="s">
        <v>102</v>
      </c>
      <c r="J10" s="7"/>
      <c r="K10" s="7"/>
      <c r="L10" s="7"/>
      <c r="M10" s="7"/>
      <c r="N10" s="358">
        <v>550</v>
      </c>
      <c r="O10" s="358"/>
      <c r="P10" s="7" t="s">
        <v>42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48"/>
      <c r="AE10" s="7"/>
      <c r="AF10" s="7"/>
    </row>
    <row r="11" spans="1:32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48"/>
      <c r="AE11" s="7"/>
      <c r="AF11" s="7"/>
    </row>
    <row r="12" spans="1:32" ht="12.75">
      <c r="A12" s="7"/>
      <c r="B12" s="7"/>
      <c r="C12" s="7"/>
      <c r="D12" s="7"/>
      <c r="E12" s="7"/>
      <c r="F12" s="7"/>
      <c r="G12" s="7"/>
      <c r="H12" s="7"/>
      <c r="I12" s="7" t="s">
        <v>103</v>
      </c>
      <c r="J12" s="7"/>
      <c r="K12" s="361">
        <v>30</v>
      </c>
      <c r="L12" s="361"/>
      <c r="M12" s="361"/>
      <c r="N12" s="361"/>
      <c r="O12" s="7" t="s">
        <v>42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48"/>
      <c r="AE12" s="7"/>
      <c r="AF12" s="7"/>
    </row>
    <row r="13" spans="1:32" ht="12.75">
      <c r="A13" s="7"/>
      <c r="B13" s="7"/>
      <c r="C13" s="7"/>
      <c r="D13" s="7"/>
      <c r="E13" s="7"/>
      <c r="F13" s="7"/>
      <c r="G13" s="7"/>
      <c r="H13" s="7"/>
      <c r="I13" s="7" t="s">
        <v>104</v>
      </c>
      <c r="J13" s="7"/>
      <c r="K13" s="361">
        <v>30</v>
      </c>
      <c r="L13" s="361"/>
      <c r="M13" s="361"/>
      <c r="N13" s="361"/>
      <c r="O13" s="7" t="s">
        <v>42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48"/>
      <c r="AE13" s="7"/>
      <c r="AF13" s="7"/>
    </row>
    <row r="14" spans="1:32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48"/>
      <c r="AE14" s="7"/>
      <c r="AF14" s="7"/>
    </row>
    <row r="15" spans="1:3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48"/>
      <c r="AE15" s="7"/>
      <c r="AF15" s="7"/>
    </row>
    <row r="16" spans="1:32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48"/>
      <c r="AE16" s="7"/>
      <c r="AF16" s="7"/>
    </row>
    <row r="17" spans="1:3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48"/>
      <c r="AE17" s="7"/>
      <c r="AF17" s="7"/>
    </row>
    <row r="18" spans="1:32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48"/>
      <c r="AE18" s="7"/>
      <c r="AF18" s="7"/>
    </row>
    <row r="19" spans="1:3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48"/>
      <c r="AE19" s="7"/>
      <c r="AF19" s="7"/>
    </row>
    <row r="20" spans="1:3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48"/>
      <c r="AE20" s="7"/>
      <c r="AF20" s="7"/>
    </row>
    <row r="21" spans="1:32" ht="12.75">
      <c r="A21" s="7"/>
      <c r="B21" s="7"/>
      <c r="C21" s="7"/>
      <c r="D21" s="7"/>
      <c r="E21" s="7"/>
      <c r="F21" s="372" t="s">
        <v>105</v>
      </c>
      <c r="G21" s="372"/>
      <c r="H21" s="7"/>
      <c r="I21" s="3" t="s">
        <v>106</v>
      </c>
      <c r="J21" s="372" t="s">
        <v>46</v>
      </c>
      <c r="K21" s="7"/>
      <c r="L21" s="375">
        <f>+K9</f>
        <v>300.473</v>
      </c>
      <c r="M21" s="376"/>
      <c r="N21" s="376"/>
      <c r="O21" s="376"/>
      <c r="P21" s="372" t="s">
        <v>46</v>
      </c>
      <c r="Q21" s="373">
        <f>+L21/L22</f>
        <v>0.03183641077640143</v>
      </c>
      <c r="R21" s="372"/>
      <c r="S21" s="372"/>
      <c r="T21" s="372" t="s">
        <v>46</v>
      </c>
      <c r="U21" s="52">
        <f>+Q21*100</f>
        <v>3.1836410776401434</v>
      </c>
      <c r="V21" s="52"/>
      <c r="W21" s="372" t="s">
        <v>42</v>
      </c>
      <c r="X21" s="51"/>
      <c r="Y21" s="7"/>
      <c r="Z21" s="7"/>
      <c r="AA21" s="7"/>
      <c r="AB21" s="7"/>
      <c r="AC21" s="7"/>
      <c r="AD21" s="48"/>
      <c r="AE21" s="7"/>
      <c r="AF21" s="7"/>
    </row>
    <row r="22" spans="1:32" ht="12.75">
      <c r="A22" s="7"/>
      <c r="B22" s="7"/>
      <c r="C22" s="7"/>
      <c r="D22" s="7"/>
      <c r="E22" s="7"/>
      <c r="F22" s="372"/>
      <c r="G22" s="372"/>
      <c r="H22" s="7"/>
      <c r="I22" s="7" t="s">
        <v>107</v>
      </c>
      <c r="J22" s="372"/>
      <c r="K22" s="7"/>
      <c r="L22" s="363">
        <f>+K8</f>
        <v>9438.03</v>
      </c>
      <c r="M22" s="358"/>
      <c r="N22" s="358"/>
      <c r="O22" s="358"/>
      <c r="P22" s="372"/>
      <c r="Q22" s="372"/>
      <c r="R22" s="372"/>
      <c r="S22" s="372"/>
      <c r="T22" s="372"/>
      <c r="U22" s="52"/>
      <c r="V22" s="52"/>
      <c r="W22" s="372"/>
      <c r="X22" s="51"/>
      <c r="Y22" s="7"/>
      <c r="Z22" s="7"/>
      <c r="AA22" s="7"/>
      <c r="AB22" s="7"/>
      <c r="AC22" s="7"/>
      <c r="AD22" s="48"/>
      <c r="AE22" s="7"/>
      <c r="AF22" s="7"/>
    </row>
    <row r="23" spans="1:32" ht="12.75">
      <c r="A23" s="7"/>
      <c r="B23" s="7"/>
      <c r="C23" s="7"/>
      <c r="D23" s="7"/>
      <c r="E23" s="7"/>
      <c r="F23" s="50"/>
      <c r="G23" s="50"/>
      <c r="H23" s="7"/>
      <c r="I23" s="7"/>
      <c r="J23" s="50"/>
      <c r="K23" s="7"/>
      <c r="L23" s="53"/>
      <c r="M23" s="40"/>
      <c r="N23" s="40"/>
      <c r="O23" s="40"/>
      <c r="P23" s="50"/>
      <c r="Q23" s="50"/>
      <c r="R23" s="50"/>
      <c r="S23" s="50"/>
      <c r="T23" s="50"/>
      <c r="U23" s="51"/>
      <c r="V23" s="51"/>
      <c r="W23" s="50"/>
      <c r="X23" s="51"/>
      <c r="Y23" s="7"/>
      <c r="Z23" s="7"/>
      <c r="AA23" s="7"/>
      <c r="AB23" s="7"/>
      <c r="AC23" s="7"/>
      <c r="AD23" s="48"/>
      <c r="AE23" s="7"/>
      <c r="AF23" s="7"/>
    </row>
    <row r="24" spans="1:32" ht="12.75">
      <c r="A24" s="7"/>
      <c r="B24" s="7"/>
      <c r="C24" s="7"/>
      <c r="D24" s="7"/>
      <c r="E24" s="7"/>
      <c r="F24" s="372" t="s">
        <v>108</v>
      </c>
      <c r="G24" s="372"/>
      <c r="H24" s="7"/>
      <c r="I24" s="3">
        <v>1</v>
      </c>
      <c r="J24" s="372" t="s">
        <v>87</v>
      </c>
      <c r="K24" s="372" t="s">
        <v>46</v>
      </c>
      <c r="L24" s="54">
        <f>K13</f>
        <v>30</v>
      </c>
      <c r="M24" s="372" t="s">
        <v>46</v>
      </c>
      <c r="N24" s="372">
        <f>+L24/L25</f>
        <v>1</v>
      </c>
      <c r="O24" s="372"/>
      <c r="P24" s="372" t="s">
        <v>42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48"/>
      <c r="AE24" s="7"/>
      <c r="AF24" s="7"/>
    </row>
    <row r="25" spans="1:32" ht="12.75">
      <c r="A25" s="7"/>
      <c r="B25" s="7"/>
      <c r="C25" s="7"/>
      <c r="D25" s="7"/>
      <c r="E25" s="7"/>
      <c r="F25" s="372"/>
      <c r="G25" s="372"/>
      <c r="H25" s="7"/>
      <c r="I25" s="7">
        <v>30</v>
      </c>
      <c r="J25" s="372"/>
      <c r="K25" s="372"/>
      <c r="L25" s="7">
        <v>30</v>
      </c>
      <c r="M25" s="372"/>
      <c r="N25" s="372"/>
      <c r="O25" s="372"/>
      <c r="P25" s="372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48"/>
      <c r="AE25" s="7"/>
      <c r="AF25" s="7"/>
    </row>
    <row r="26" spans="1:3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48"/>
      <c r="AE26" s="7"/>
      <c r="AF26" s="7"/>
    </row>
    <row r="27" spans="1:32" ht="12.75">
      <c r="A27" s="7"/>
      <c r="B27" s="7"/>
      <c r="C27" s="7"/>
      <c r="D27" s="7"/>
      <c r="E27" s="7"/>
      <c r="F27" s="7" t="s">
        <v>109</v>
      </c>
      <c r="G27" s="7"/>
      <c r="H27" s="7"/>
      <c r="I27" s="7"/>
      <c r="J27" s="7"/>
      <c r="K27" s="7"/>
      <c r="L27" s="7"/>
      <c r="M27" s="55">
        <f>+N24+U21</f>
        <v>4.183641077640143</v>
      </c>
      <c r="N27" s="56"/>
      <c r="O27" s="7" t="s">
        <v>42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48"/>
      <c r="AE27" s="7"/>
      <c r="AF27" s="7"/>
    </row>
    <row r="28" spans="1:3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48"/>
      <c r="AE28" s="7"/>
      <c r="AF28" s="7"/>
    </row>
    <row r="29" spans="1:32" ht="12.75">
      <c r="A29" s="7"/>
      <c r="B29" s="7"/>
      <c r="C29" s="7"/>
      <c r="D29" s="7"/>
      <c r="E29" s="7"/>
      <c r="F29" s="3" t="s">
        <v>110</v>
      </c>
      <c r="G29" s="372" t="s">
        <v>46</v>
      </c>
      <c r="H29" s="57">
        <f>+M27</f>
        <v>4.183641077640143</v>
      </c>
      <c r="I29" s="58"/>
      <c r="J29" s="372" t="s">
        <v>46</v>
      </c>
      <c r="K29" s="372">
        <f>+H29/H30</f>
        <v>0.13945470258800477</v>
      </c>
      <c r="L29" s="372"/>
      <c r="M29" s="372" t="s">
        <v>42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48"/>
      <c r="AE29" s="7"/>
      <c r="AF29" s="7"/>
    </row>
    <row r="30" spans="1:32" ht="12.75">
      <c r="A30" s="7"/>
      <c r="B30" s="7"/>
      <c r="C30" s="7"/>
      <c r="D30" s="7"/>
      <c r="E30" s="7"/>
      <c r="F30" s="7" t="s">
        <v>87</v>
      </c>
      <c r="G30" s="372"/>
      <c r="H30" s="59">
        <f>K13</f>
        <v>30</v>
      </c>
      <c r="I30" s="62"/>
      <c r="J30" s="372"/>
      <c r="K30" s="372"/>
      <c r="L30" s="372"/>
      <c r="M30" s="37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48"/>
      <c r="AE30" s="7"/>
      <c r="AF30" s="7"/>
    </row>
    <row r="31" spans="1:3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48"/>
      <c r="AE31" s="7"/>
      <c r="AF31" s="7"/>
    </row>
    <row r="32" spans="1:32" ht="18.75">
      <c r="A32" s="7"/>
      <c r="B32" s="7"/>
      <c r="C32" s="7"/>
      <c r="D32" s="7"/>
      <c r="E32" s="7"/>
      <c r="F32" s="7"/>
      <c r="G32" s="7" t="s">
        <v>145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358">
        <f>IF(K138=1,VLOOKUP(TRUNC(ROUND(K29,2),2),G34:I137,2),VLOOKUP(TRUNC(ROUND(K29,3),2),G34:I137,3))</f>
        <v>7.098000000000001</v>
      </c>
      <c r="Y32" s="358"/>
      <c r="Z32" s="7"/>
      <c r="AA32" s="7"/>
      <c r="AB32" s="7"/>
      <c r="AC32" s="7"/>
      <c r="AD32" s="48"/>
      <c r="AE32" s="7"/>
      <c r="AF32" s="7"/>
    </row>
    <row r="33" spans="1:3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40"/>
      <c r="Y33" s="40"/>
      <c r="Z33" s="7"/>
      <c r="AA33" s="7"/>
      <c r="AB33" s="7"/>
      <c r="AC33" s="7"/>
      <c r="AD33" s="48"/>
      <c r="AE33" s="7"/>
      <c r="AF33" s="7"/>
    </row>
    <row r="34" spans="1:32" ht="12.75" hidden="1">
      <c r="A34" s="7"/>
      <c r="B34" s="7"/>
      <c r="C34" s="7"/>
      <c r="D34" s="7"/>
      <c r="E34" s="7"/>
      <c r="F34" s="7"/>
      <c r="G34" s="24">
        <v>0</v>
      </c>
      <c r="H34" s="24">
        <v>4</v>
      </c>
      <c r="I34" s="24">
        <v>4.4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40"/>
      <c r="Y34" s="40"/>
      <c r="Z34" s="7"/>
      <c r="AA34" s="7"/>
      <c r="AB34" s="7"/>
      <c r="AC34" s="7"/>
      <c r="AD34" s="48"/>
      <c r="AE34" s="7"/>
      <c r="AF34" s="7"/>
    </row>
    <row r="35" spans="1:32" ht="12.75" hidden="1">
      <c r="A35" s="7"/>
      <c r="B35" s="7"/>
      <c r="C35" s="7"/>
      <c r="D35" s="7"/>
      <c r="E35" s="7"/>
      <c r="F35" s="7"/>
      <c r="G35" s="24">
        <v>0.01</v>
      </c>
      <c r="H35" s="24">
        <v>4.46</v>
      </c>
      <c r="I35" s="24">
        <v>4.91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40"/>
      <c r="Y35" s="40"/>
      <c r="Z35" s="7"/>
      <c r="AA35" s="7"/>
      <c r="AB35" s="7"/>
      <c r="AC35" s="7"/>
      <c r="AD35" s="48"/>
      <c r="AE35" s="7"/>
      <c r="AF35" s="7"/>
    </row>
    <row r="36" spans="1:32" ht="12.75" hidden="1">
      <c r="A36" s="7"/>
      <c r="B36" s="7"/>
      <c r="C36" s="7"/>
      <c r="D36" s="7"/>
      <c r="E36" s="7"/>
      <c r="F36" s="7"/>
      <c r="G36" s="24">
        <v>0.02</v>
      </c>
      <c r="H36" s="24">
        <v>4.92</v>
      </c>
      <c r="I36" s="24">
        <v>5.42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40"/>
      <c r="Y36" s="40"/>
      <c r="Z36" s="7"/>
      <c r="AA36" s="7"/>
      <c r="AB36" s="7"/>
      <c r="AC36" s="7"/>
      <c r="AD36" s="48"/>
      <c r="AE36" s="7"/>
      <c r="AF36" s="7"/>
    </row>
    <row r="37" spans="1:32" ht="12.75" hidden="1">
      <c r="A37" s="7"/>
      <c r="B37" s="7"/>
      <c r="C37" s="7"/>
      <c r="D37" s="7"/>
      <c r="E37" s="7"/>
      <c r="F37" s="7"/>
      <c r="G37" s="24">
        <v>0.03</v>
      </c>
      <c r="H37" s="24">
        <v>5.38</v>
      </c>
      <c r="I37" s="24">
        <v>5.93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40"/>
      <c r="Y37" s="40"/>
      <c r="Z37" s="7"/>
      <c r="AA37" s="7"/>
      <c r="AB37" s="7"/>
      <c r="AC37" s="7"/>
      <c r="AD37" s="48"/>
      <c r="AE37" s="7"/>
      <c r="AF37" s="7"/>
    </row>
    <row r="38" spans="1:32" ht="12.75" hidden="1">
      <c r="A38" s="7"/>
      <c r="B38" s="7"/>
      <c r="C38" s="7"/>
      <c r="D38" s="7"/>
      <c r="E38" s="7"/>
      <c r="F38" s="7"/>
      <c r="G38" s="24">
        <v>0.04</v>
      </c>
      <c r="H38" s="24">
        <v>5.84</v>
      </c>
      <c r="I38" s="24">
        <v>6.44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40"/>
      <c r="Y38" s="40"/>
      <c r="Z38" s="7"/>
      <c r="AA38" s="7"/>
      <c r="AB38" s="7"/>
      <c r="AC38" s="7"/>
      <c r="AD38" s="48"/>
      <c r="AE38" s="7"/>
      <c r="AF38" s="7"/>
    </row>
    <row r="39" spans="1:32" ht="12.75" hidden="1">
      <c r="A39" s="7"/>
      <c r="B39" s="7"/>
      <c r="C39" s="7"/>
      <c r="D39" s="7"/>
      <c r="E39" s="7"/>
      <c r="F39" s="7"/>
      <c r="G39" s="24">
        <v>0.05</v>
      </c>
      <c r="H39" s="24">
        <v>5.86</v>
      </c>
      <c r="I39" s="24">
        <v>6.45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40"/>
      <c r="Y39" s="40"/>
      <c r="Z39" s="7"/>
      <c r="AA39" s="7"/>
      <c r="AB39" s="7"/>
      <c r="AC39" s="7"/>
      <c r="AD39" s="48"/>
      <c r="AE39" s="7"/>
      <c r="AF39" s="7"/>
    </row>
    <row r="40" spans="1:32" ht="12.75" hidden="1">
      <c r="A40" s="7"/>
      <c r="B40" s="7"/>
      <c r="C40" s="7"/>
      <c r="D40" s="7"/>
      <c r="E40" s="7"/>
      <c r="F40" s="7"/>
      <c r="G40" s="24">
        <v>0.06</v>
      </c>
      <c r="H40" s="24">
        <v>5.952</v>
      </c>
      <c r="I40" s="24">
        <v>6.5520000000000005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40"/>
      <c r="Y40" s="40"/>
      <c r="Z40" s="7"/>
      <c r="AA40" s="7"/>
      <c r="AB40" s="7"/>
      <c r="AC40" s="7"/>
      <c r="AD40" s="48"/>
      <c r="AE40" s="7"/>
      <c r="AF40" s="7"/>
    </row>
    <row r="41" spans="1:32" ht="12.75" hidden="1">
      <c r="A41" s="7"/>
      <c r="B41" s="7"/>
      <c r="C41" s="7"/>
      <c r="D41" s="7"/>
      <c r="E41" s="7"/>
      <c r="F41" s="7"/>
      <c r="G41" s="24">
        <v>0.07</v>
      </c>
      <c r="H41" s="24">
        <v>6.044</v>
      </c>
      <c r="I41" s="24">
        <v>6.654000000000001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40"/>
      <c r="Y41" s="40"/>
      <c r="Z41" s="7"/>
      <c r="AA41" s="7"/>
      <c r="AB41" s="7"/>
      <c r="AC41" s="7"/>
      <c r="AD41" s="48"/>
      <c r="AE41" s="7"/>
      <c r="AF41" s="7"/>
    </row>
    <row r="42" spans="1:32" ht="12.75" hidden="1">
      <c r="A42" s="7"/>
      <c r="B42" s="7"/>
      <c r="C42" s="7"/>
      <c r="D42" s="7"/>
      <c r="E42" s="7"/>
      <c r="F42" s="7"/>
      <c r="G42" s="24">
        <v>0.08</v>
      </c>
      <c r="H42" s="24">
        <v>6.135999999999999</v>
      </c>
      <c r="I42" s="24">
        <v>6.756000000000001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40"/>
      <c r="Y42" s="40"/>
      <c r="Z42" s="7"/>
      <c r="AA42" s="7"/>
      <c r="AB42" s="7"/>
      <c r="AC42" s="7"/>
      <c r="AD42" s="48"/>
      <c r="AE42" s="7"/>
      <c r="AF42" s="7"/>
    </row>
    <row r="43" spans="1:32" ht="12.75" hidden="1">
      <c r="A43" s="7"/>
      <c r="B43" s="7"/>
      <c r="C43" s="7"/>
      <c r="D43" s="7"/>
      <c r="E43" s="7"/>
      <c r="F43" s="7"/>
      <c r="G43" s="24">
        <v>0.09</v>
      </c>
      <c r="H43" s="24">
        <v>6.227999999999999</v>
      </c>
      <c r="I43" s="24">
        <v>6.858000000000001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40"/>
      <c r="Y43" s="40"/>
      <c r="Z43" s="7"/>
      <c r="AA43" s="7"/>
      <c r="AB43" s="7"/>
      <c r="AC43" s="7"/>
      <c r="AD43" s="48"/>
      <c r="AE43" s="7"/>
      <c r="AF43" s="7"/>
    </row>
    <row r="44" spans="1:32" ht="12.75" hidden="1">
      <c r="A44" s="7"/>
      <c r="B44" s="7"/>
      <c r="C44" s="7"/>
      <c r="D44" s="7"/>
      <c r="E44" s="7"/>
      <c r="F44" s="7"/>
      <c r="G44" s="24">
        <v>0.1</v>
      </c>
      <c r="H44" s="24">
        <v>6.32</v>
      </c>
      <c r="I44" s="24">
        <v>6.96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40"/>
      <c r="Y44" s="40"/>
      <c r="Z44" s="7"/>
      <c r="AA44" s="7"/>
      <c r="AB44" s="7"/>
      <c r="AC44" s="7"/>
      <c r="AD44" s="48"/>
      <c r="AE44" s="7"/>
      <c r="AF44" s="7"/>
    </row>
    <row r="45" spans="1:32" ht="12.75" hidden="1">
      <c r="A45" s="7"/>
      <c r="B45" s="7"/>
      <c r="C45" s="7"/>
      <c r="D45" s="7"/>
      <c r="E45" s="7"/>
      <c r="F45" s="7"/>
      <c r="G45" s="24">
        <v>0.11</v>
      </c>
      <c r="H45" s="24">
        <v>6.364</v>
      </c>
      <c r="I45" s="24">
        <v>7.006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40"/>
      <c r="Y45" s="40"/>
      <c r="Z45" s="7"/>
      <c r="AA45" s="7"/>
      <c r="AB45" s="7"/>
      <c r="AC45" s="7"/>
      <c r="AD45" s="48"/>
      <c r="AE45" s="7"/>
      <c r="AF45" s="7"/>
    </row>
    <row r="46" spans="1:32" ht="12.75" hidden="1">
      <c r="A46" s="7"/>
      <c r="B46" s="7"/>
      <c r="C46" s="7"/>
      <c r="D46" s="7"/>
      <c r="E46" s="7"/>
      <c r="F46" s="7"/>
      <c r="G46" s="24">
        <v>0.12</v>
      </c>
      <c r="H46" s="24">
        <v>6.4079999999999995</v>
      </c>
      <c r="I46" s="24">
        <v>7.0520000000000005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40"/>
      <c r="Y46" s="40"/>
      <c r="Z46" s="7"/>
      <c r="AA46" s="7"/>
      <c r="AB46" s="7"/>
      <c r="AC46" s="7"/>
      <c r="AD46" s="48"/>
      <c r="AE46" s="7"/>
      <c r="AF46" s="7"/>
    </row>
    <row r="47" spans="1:32" ht="12.75" hidden="1">
      <c r="A47" s="7"/>
      <c r="B47" s="7"/>
      <c r="C47" s="7"/>
      <c r="D47" s="7"/>
      <c r="E47" s="7"/>
      <c r="F47" s="7"/>
      <c r="G47" s="24">
        <v>0.13</v>
      </c>
      <c r="H47" s="24">
        <v>6.451999999999999</v>
      </c>
      <c r="I47" s="24">
        <v>7.098000000000001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40"/>
      <c r="Y47" s="40"/>
      <c r="Z47" s="7"/>
      <c r="AA47" s="7"/>
      <c r="AB47" s="7"/>
      <c r="AC47" s="7"/>
      <c r="AD47" s="48"/>
      <c r="AE47" s="7"/>
      <c r="AF47" s="7"/>
    </row>
    <row r="48" spans="1:32" ht="12.75" hidden="1">
      <c r="A48" s="7"/>
      <c r="B48" s="7"/>
      <c r="C48" s="7"/>
      <c r="D48" s="7"/>
      <c r="E48" s="7"/>
      <c r="F48" s="7"/>
      <c r="G48" s="24">
        <v>0.14</v>
      </c>
      <c r="H48" s="24">
        <v>6.495999999999999</v>
      </c>
      <c r="I48" s="24">
        <v>7.144000000000001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40"/>
      <c r="Y48" s="40"/>
      <c r="Z48" s="7"/>
      <c r="AA48" s="7"/>
      <c r="AB48" s="7"/>
      <c r="AC48" s="7"/>
      <c r="AD48" s="48"/>
      <c r="AE48" s="7"/>
      <c r="AF48" s="7"/>
    </row>
    <row r="49" spans="1:32" ht="12.75" hidden="1">
      <c r="A49" s="7"/>
      <c r="B49" s="7"/>
      <c r="C49" s="7"/>
      <c r="D49" s="7"/>
      <c r="E49" s="7"/>
      <c r="F49" s="7"/>
      <c r="G49" s="24">
        <v>0.15</v>
      </c>
      <c r="H49" s="24">
        <v>6.54</v>
      </c>
      <c r="I49" s="24">
        <v>7.19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40"/>
      <c r="Y49" s="40"/>
      <c r="Z49" s="7"/>
      <c r="AA49" s="7"/>
      <c r="AB49" s="7"/>
      <c r="AC49" s="7"/>
      <c r="AD49" s="48"/>
      <c r="AE49" s="7"/>
      <c r="AF49" s="7"/>
    </row>
    <row r="50" spans="1:32" ht="12.75" hidden="1">
      <c r="A50" s="7"/>
      <c r="B50" s="7"/>
      <c r="C50" s="7"/>
      <c r="D50" s="7"/>
      <c r="E50" s="7"/>
      <c r="F50" s="7"/>
      <c r="G50" s="24">
        <v>0.16</v>
      </c>
      <c r="H50" s="24">
        <v>6.564</v>
      </c>
      <c r="I50" s="24">
        <v>7.214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40"/>
      <c r="Y50" s="40"/>
      <c r="Z50" s="7"/>
      <c r="AA50" s="7"/>
      <c r="AB50" s="7"/>
      <c r="AC50" s="7"/>
      <c r="AD50" s="48"/>
      <c r="AE50" s="7"/>
      <c r="AF50" s="7"/>
    </row>
    <row r="51" spans="1:32" ht="12.75" hidden="1">
      <c r="A51" s="7"/>
      <c r="B51" s="7"/>
      <c r="C51" s="7"/>
      <c r="D51" s="7"/>
      <c r="E51" s="7"/>
      <c r="F51" s="7"/>
      <c r="G51" s="24">
        <v>0.17</v>
      </c>
      <c r="H51" s="24">
        <v>6.588</v>
      </c>
      <c r="I51" s="24">
        <v>7.238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40"/>
      <c r="Y51" s="40"/>
      <c r="Z51" s="7"/>
      <c r="AA51" s="7"/>
      <c r="AB51" s="7"/>
      <c r="AC51" s="7"/>
      <c r="AD51" s="48"/>
      <c r="AE51" s="7"/>
      <c r="AF51" s="7"/>
    </row>
    <row r="52" spans="1:32" ht="12.75" hidden="1">
      <c r="A52" s="7"/>
      <c r="B52" s="7"/>
      <c r="C52" s="7"/>
      <c r="D52" s="7"/>
      <c r="E52" s="7"/>
      <c r="F52" s="7"/>
      <c r="G52" s="24">
        <v>0.18</v>
      </c>
      <c r="H52" s="24">
        <v>6.612</v>
      </c>
      <c r="I52" s="24">
        <v>7.2620000000000005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40"/>
      <c r="Y52" s="40"/>
      <c r="Z52" s="7"/>
      <c r="AA52" s="7"/>
      <c r="AB52" s="7"/>
      <c r="AC52" s="7"/>
      <c r="AD52" s="48"/>
      <c r="AE52" s="7"/>
      <c r="AF52" s="7"/>
    </row>
    <row r="53" spans="1:32" ht="12.75" hidden="1">
      <c r="A53" s="7"/>
      <c r="B53" s="7"/>
      <c r="C53" s="7"/>
      <c r="D53" s="7"/>
      <c r="E53" s="7"/>
      <c r="F53" s="7"/>
      <c r="G53" s="24">
        <v>0.19</v>
      </c>
      <c r="H53" s="24">
        <v>6.636</v>
      </c>
      <c r="I53" s="24">
        <v>7.2860000000000005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40"/>
      <c r="Y53" s="40"/>
      <c r="Z53" s="7"/>
      <c r="AA53" s="7"/>
      <c r="AB53" s="7"/>
      <c r="AC53" s="7"/>
      <c r="AD53" s="48"/>
      <c r="AE53" s="7"/>
      <c r="AF53" s="7"/>
    </row>
    <row r="54" spans="1:32" ht="12.75" hidden="1">
      <c r="A54" s="7"/>
      <c r="B54" s="7"/>
      <c r="C54" s="7"/>
      <c r="D54" s="7"/>
      <c r="E54" s="7"/>
      <c r="F54" s="7"/>
      <c r="G54" s="24">
        <v>0.2</v>
      </c>
      <c r="H54" s="24">
        <v>6.66</v>
      </c>
      <c r="I54" s="24">
        <v>7.32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40"/>
      <c r="Y54" s="40"/>
      <c r="Z54" s="7"/>
      <c r="AA54" s="7"/>
      <c r="AB54" s="7"/>
      <c r="AC54" s="7"/>
      <c r="AD54" s="48"/>
      <c r="AE54" s="7"/>
      <c r="AF54" s="7"/>
    </row>
    <row r="55" spans="1:32" ht="12.75" hidden="1">
      <c r="A55" s="7"/>
      <c r="B55" s="7"/>
      <c r="C55" s="7"/>
      <c r="D55" s="7"/>
      <c r="E55" s="7"/>
      <c r="F55" s="7"/>
      <c r="G55" s="24">
        <v>0.21</v>
      </c>
      <c r="H55" s="24">
        <v>6.676</v>
      </c>
      <c r="I55" s="24">
        <v>7.336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40"/>
      <c r="Y55" s="40"/>
      <c r="Z55" s="7"/>
      <c r="AA55" s="7"/>
      <c r="AB55" s="7"/>
      <c r="AC55" s="7"/>
      <c r="AD55" s="48"/>
      <c r="AE55" s="7"/>
      <c r="AF55" s="7"/>
    </row>
    <row r="56" spans="1:32" ht="12.75" hidden="1">
      <c r="A56" s="7"/>
      <c r="B56" s="7"/>
      <c r="C56" s="7"/>
      <c r="D56" s="7"/>
      <c r="E56" s="7"/>
      <c r="F56" s="7"/>
      <c r="G56" s="24">
        <v>0.22</v>
      </c>
      <c r="H56" s="24">
        <v>6.692</v>
      </c>
      <c r="I56" s="24">
        <v>7.352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40"/>
      <c r="Y56" s="40"/>
      <c r="Z56" s="7"/>
      <c r="AA56" s="7"/>
      <c r="AB56" s="7"/>
      <c r="AC56" s="7"/>
      <c r="AD56" s="48"/>
      <c r="AE56" s="7"/>
      <c r="AF56" s="7"/>
    </row>
    <row r="57" spans="1:32" ht="12.75" hidden="1">
      <c r="A57" s="7"/>
      <c r="B57" s="7"/>
      <c r="C57" s="7"/>
      <c r="D57" s="7"/>
      <c r="E57" s="7"/>
      <c r="F57" s="7"/>
      <c r="G57" s="24">
        <v>0.23</v>
      </c>
      <c r="H57" s="24">
        <v>6.708</v>
      </c>
      <c r="I57" s="24">
        <v>7.368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40"/>
      <c r="Y57" s="40"/>
      <c r="Z57" s="7"/>
      <c r="AA57" s="7"/>
      <c r="AB57" s="7"/>
      <c r="AC57" s="7"/>
      <c r="AD57" s="48"/>
      <c r="AE57" s="7"/>
      <c r="AF57" s="7"/>
    </row>
    <row r="58" spans="1:32" ht="12.75" hidden="1">
      <c r="A58" s="7"/>
      <c r="B58" s="7"/>
      <c r="C58" s="7"/>
      <c r="D58" s="7"/>
      <c r="E58" s="7"/>
      <c r="F58" s="7"/>
      <c r="G58" s="24">
        <v>0.24</v>
      </c>
      <c r="H58" s="24">
        <v>6.724</v>
      </c>
      <c r="I58" s="24">
        <v>7.384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40"/>
      <c r="Y58" s="40"/>
      <c r="Z58" s="7"/>
      <c r="AA58" s="7"/>
      <c r="AB58" s="7"/>
      <c r="AC58" s="7"/>
      <c r="AD58" s="48"/>
      <c r="AE58" s="7"/>
      <c r="AF58" s="7"/>
    </row>
    <row r="59" spans="1:32" ht="12.75" hidden="1">
      <c r="A59" s="7"/>
      <c r="B59" s="7"/>
      <c r="C59" s="7"/>
      <c r="D59" s="7"/>
      <c r="E59" s="7"/>
      <c r="F59" s="7"/>
      <c r="G59" s="24">
        <v>0.25</v>
      </c>
      <c r="H59" s="24">
        <v>6.74</v>
      </c>
      <c r="I59" s="24">
        <v>7.41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40"/>
      <c r="Y59" s="40"/>
      <c r="Z59" s="7"/>
      <c r="AA59" s="7"/>
      <c r="AB59" s="7"/>
      <c r="AC59" s="7"/>
      <c r="AD59" s="48"/>
      <c r="AE59" s="7"/>
      <c r="AF59" s="7"/>
    </row>
    <row r="60" spans="1:32" ht="12.75" hidden="1">
      <c r="A60" s="7"/>
      <c r="B60" s="7"/>
      <c r="C60" s="7"/>
      <c r="D60" s="7"/>
      <c r="E60" s="7"/>
      <c r="F60" s="7"/>
      <c r="G60" s="24">
        <v>0.26</v>
      </c>
      <c r="H60" s="24">
        <v>6.75</v>
      </c>
      <c r="I60" s="24">
        <v>7.422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40"/>
      <c r="Y60" s="40"/>
      <c r="Z60" s="7"/>
      <c r="AA60" s="7"/>
      <c r="AB60" s="7"/>
      <c r="AC60" s="7"/>
      <c r="AD60" s="48"/>
      <c r="AE60" s="7"/>
      <c r="AF60" s="7"/>
    </row>
    <row r="61" spans="1:32" ht="12.75" hidden="1">
      <c r="A61" s="7"/>
      <c r="B61" s="7"/>
      <c r="C61" s="7"/>
      <c r="D61" s="7"/>
      <c r="E61" s="7"/>
      <c r="F61" s="7"/>
      <c r="G61" s="24">
        <v>0.27</v>
      </c>
      <c r="H61" s="24">
        <v>6.76</v>
      </c>
      <c r="I61" s="24">
        <v>7.433999999999999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40"/>
      <c r="Y61" s="40"/>
      <c r="Z61" s="7"/>
      <c r="AA61" s="7"/>
      <c r="AB61" s="7"/>
      <c r="AC61" s="7"/>
      <c r="AD61" s="48"/>
      <c r="AE61" s="7"/>
      <c r="AF61" s="7"/>
    </row>
    <row r="62" spans="1:32" ht="12.75" hidden="1">
      <c r="A62" s="7"/>
      <c r="B62" s="7"/>
      <c r="C62" s="7"/>
      <c r="D62" s="7"/>
      <c r="E62" s="7"/>
      <c r="F62" s="7"/>
      <c r="G62" s="24">
        <v>0.28</v>
      </c>
      <c r="H62" s="24">
        <v>6.77</v>
      </c>
      <c r="I62" s="24">
        <v>7.445999999999999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40"/>
      <c r="Y62" s="40"/>
      <c r="Z62" s="7"/>
      <c r="AA62" s="7"/>
      <c r="AB62" s="7"/>
      <c r="AC62" s="7"/>
      <c r="AD62" s="48"/>
      <c r="AE62" s="7"/>
      <c r="AF62" s="7"/>
    </row>
    <row r="63" spans="1:32" ht="12.75" hidden="1">
      <c r="A63" s="7"/>
      <c r="B63" s="7"/>
      <c r="C63" s="7"/>
      <c r="D63" s="7"/>
      <c r="E63" s="7"/>
      <c r="F63" s="7"/>
      <c r="G63" s="24">
        <v>0.29</v>
      </c>
      <c r="H63" s="24">
        <v>6.78</v>
      </c>
      <c r="I63" s="24">
        <v>7.457999999999998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40"/>
      <c r="Y63" s="40"/>
      <c r="Z63" s="7"/>
      <c r="AA63" s="7"/>
      <c r="AB63" s="7"/>
      <c r="AC63" s="7"/>
      <c r="AD63" s="48"/>
      <c r="AE63" s="7"/>
      <c r="AF63" s="7"/>
    </row>
    <row r="64" spans="1:32" ht="12.75" hidden="1">
      <c r="A64" s="7"/>
      <c r="B64" s="7"/>
      <c r="C64" s="7"/>
      <c r="D64" s="7"/>
      <c r="E64" s="7"/>
      <c r="F64" s="7"/>
      <c r="G64" s="24">
        <v>0.3</v>
      </c>
      <c r="H64" s="24">
        <v>6.79</v>
      </c>
      <c r="I64" s="24">
        <v>7.47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40"/>
      <c r="Y64" s="40"/>
      <c r="Z64" s="7"/>
      <c r="AA64" s="7"/>
      <c r="AB64" s="7"/>
      <c r="AC64" s="7"/>
      <c r="AD64" s="48"/>
      <c r="AE64" s="7"/>
      <c r="AF64" s="7"/>
    </row>
    <row r="65" spans="1:32" ht="12.75" hidden="1">
      <c r="A65" s="7"/>
      <c r="B65" s="7"/>
      <c r="C65" s="7"/>
      <c r="D65" s="7"/>
      <c r="E65" s="7"/>
      <c r="F65" s="7"/>
      <c r="G65" s="24">
        <v>0.31</v>
      </c>
      <c r="H65" s="24">
        <v>6.798</v>
      </c>
      <c r="I65" s="24">
        <v>7.48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40"/>
      <c r="Y65" s="40"/>
      <c r="Z65" s="7"/>
      <c r="AA65" s="7"/>
      <c r="AB65" s="7"/>
      <c r="AC65" s="7"/>
      <c r="AD65" s="48"/>
      <c r="AE65" s="7"/>
      <c r="AF65" s="7"/>
    </row>
    <row r="66" spans="1:32" ht="12.75" hidden="1">
      <c r="A66" s="7"/>
      <c r="B66" s="7"/>
      <c r="C66" s="7"/>
      <c r="D66" s="7"/>
      <c r="E66" s="7"/>
      <c r="F66" s="7"/>
      <c r="G66" s="24">
        <v>0.32</v>
      </c>
      <c r="H66" s="24">
        <v>6.806</v>
      </c>
      <c r="I66" s="24">
        <v>7.49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40"/>
      <c r="Y66" s="40"/>
      <c r="Z66" s="7"/>
      <c r="AA66" s="7"/>
      <c r="AB66" s="7"/>
      <c r="AC66" s="7"/>
      <c r="AD66" s="48"/>
      <c r="AE66" s="7"/>
      <c r="AF66" s="7"/>
    </row>
    <row r="67" spans="1:32" ht="12.75" hidden="1">
      <c r="A67" s="7"/>
      <c r="B67" s="7"/>
      <c r="C67" s="7"/>
      <c r="D67" s="7"/>
      <c r="E67" s="7"/>
      <c r="F67" s="7"/>
      <c r="G67" s="24">
        <v>0.33</v>
      </c>
      <c r="H67" s="24">
        <v>6.814</v>
      </c>
      <c r="I67" s="24">
        <v>7.5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40"/>
      <c r="Y67" s="40"/>
      <c r="Z67" s="7"/>
      <c r="AA67" s="7"/>
      <c r="AB67" s="7"/>
      <c r="AC67" s="7"/>
      <c r="AD67" s="48"/>
      <c r="AE67" s="7"/>
      <c r="AF67" s="7"/>
    </row>
    <row r="68" spans="1:32" ht="12.75" hidden="1">
      <c r="A68" s="7"/>
      <c r="B68" s="7"/>
      <c r="C68" s="7"/>
      <c r="D68" s="7"/>
      <c r="E68" s="7"/>
      <c r="F68" s="7"/>
      <c r="G68" s="24">
        <v>0.34</v>
      </c>
      <c r="H68" s="24">
        <v>6.822</v>
      </c>
      <c r="I68" s="24">
        <v>7.51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40"/>
      <c r="Y68" s="40"/>
      <c r="Z68" s="7"/>
      <c r="AA68" s="7"/>
      <c r="AB68" s="7"/>
      <c r="AC68" s="7"/>
      <c r="AD68" s="48"/>
      <c r="AE68" s="7"/>
      <c r="AF68" s="7"/>
    </row>
    <row r="69" spans="1:32" ht="12.75" hidden="1">
      <c r="A69" s="7"/>
      <c r="B69" s="7"/>
      <c r="C69" s="7"/>
      <c r="D69" s="7"/>
      <c r="E69" s="7"/>
      <c r="F69" s="7"/>
      <c r="G69" s="24">
        <v>0.35</v>
      </c>
      <c r="H69" s="24">
        <v>6.83</v>
      </c>
      <c r="I69" s="24">
        <v>7.52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40"/>
      <c r="Y69" s="40"/>
      <c r="Z69" s="7"/>
      <c r="AA69" s="7"/>
      <c r="AB69" s="7"/>
      <c r="AC69" s="7"/>
      <c r="AD69" s="48"/>
      <c r="AE69" s="7"/>
      <c r="AF69" s="7"/>
    </row>
    <row r="70" spans="1:32" ht="12.75" hidden="1">
      <c r="A70" s="7"/>
      <c r="B70" s="7"/>
      <c r="C70" s="7"/>
      <c r="D70" s="7"/>
      <c r="E70" s="7"/>
      <c r="F70" s="7"/>
      <c r="G70" s="24">
        <v>0.36</v>
      </c>
      <c r="H70" s="24">
        <v>6.836</v>
      </c>
      <c r="I70" s="24">
        <v>7.526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40"/>
      <c r="Y70" s="40"/>
      <c r="Z70" s="7"/>
      <c r="AA70" s="7"/>
      <c r="AB70" s="7"/>
      <c r="AC70" s="7"/>
      <c r="AD70" s="48"/>
      <c r="AE70" s="7"/>
      <c r="AF70" s="7"/>
    </row>
    <row r="71" spans="1:32" ht="12.75" hidden="1">
      <c r="A71" s="7"/>
      <c r="B71" s="7"/>
      <c r="C71" s="7"/>
      <c r="D71" s="7"/>
      <c r="E71" s="7"/>
      <c r="F71" s="7"/>
      <c r="G71" s="24">
        <v>0.37</v>
      </c>
      <c r="H71" s="24">
        <v>6.8420000000000005</v>
      </c>
      <c r="I71" s="24">
        <v>7.532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40"/>
      <c r="Y71" s="40"/>
      <c r="Z71" s="7"/>
      <c r="AA71" s="7"/>
      <c r="AB71" s="7"/>
      <c r="AC71" s="7"/>
      <c r="AD71" s="48"/>
      <c r="AE71" s="7"/>
      <c r="AF71" s="7"/>
    </row>
    <row r="72" spans="1:32" ht="12.75" hidden="1">
      <c r="A72" s="7"/>
      <c r="B72" s="7"/>
      <c r="C72" s="7"/>
      <c r="D72" s="7"/>
      <c r="E72" s="7"/>
      <c r="F72" s="7"/>
      <c r="G72" s="24">
        <v>0.38</v>
      </c>
      <c r="H72" s="24">
        <v>6.848000000000001</v>
      </c>
      <c r="I72" s="24">
        <v>7.538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40"/>
      <c r="Y72" s="40"/>
      <c r="Z72" s="7"/>
      <c r="AA72" s="7"/>
      <c r="AB72" s="7"/>
      <c r="AC72" s="7"/>
      <c r="AD72" s="48"/>
      <c r="AE72" s="7"/>
      <c r="AF72" s="7"/>
    </row>
    <row r="73" spans="1:32" ht="12.75" hidden="1">
      <c r="A73" s="7"/>
      <c r="B73" s="7"/>
      <c r="C73" s="7"/>
      <c r="D73" s="7"/>
      <c r="E73" s="7"/>
      <c r="F73" s="7"/>
      <c r="G73" s="24">
        <v>0.39</v>
      </c>
      <c r="H73" s="24">
        <v>6.854000000000001</v>
      </c>
      <c r="I73" s="24">
        <v>7.5440000000000005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40"/>
      <c r="Y73" s="40"/>
      <c r="Z73" s="7"/>
      <c r="AA73" s="7"/>
      <c r="AB73" s="7"/>
      <c r="AC73" s="7"/>
      <c r="AD73" s="48"/>
      <c r="AE73" s="7"/>
      <c r="AF73" s="7"/>
    </row>
    <row r="74" spans="1:32" ht="12.75" hidden="1">
      <c r="A74" s="7"/>
      <c r="B74" s="7"/>
      <c r="C74" s="7"/>
      <c r="D74" s="7"/>
      <c r="E74" s="7"/>
      <c r="F74" s="7"/>
      <c r="G74" s="24">
        <v>0.4</v>
      </c>
      <c r="H74" s="24">
        <v>6.86</v>
      </c>
      <c r="I74" s="24">
        <v>7.55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40"/>
      <c r="Y74" s="40"/>
      <c r="Z74" s="7"/>
      <c r="AA74" s="7"/>
      <c r="AB74" s="7"/>
      <c r="AC74" s="7"/>
      <c r="AD74" s="48"/>
      <c r="AE74" s="7"/>
      <c r="AF74" s="7"/>
    </row>
    <row r="75" spans="1:32" ht="12.75" hidden="1">
      <c r="A75" s="7"/>
      <c r="B75" s="7"/>
      <c r="C75" s="7"/>
      <c r="D75" s="7"/>
      <c r="E75" s="7"/>
      <c r="F75" s="7"/>
      <c r="G75" s="24">
        <v>0.41</v>
      </c>
      <c r="H75" s="24">
        <v>6.8660000000000005</v>
      </c>
      <c r="I75" s="24">
        <v>7.556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40"/>
      <c r="Y75" s="40"/>
      <c r="Z75" s="7"/>
      <c r="AA75" s="7"/>
      <c r="AB75" s="7"/>
      <c r="AC75" s="7"/>
      <c r="AD75" s="48"/>
      <c r="AE75" s="7"/>
      <c r="AF75" s="7"/>
    </row>
    <row r="76" spans="1:32" ht="12.75" hidden="1">
      <c r="A76" s="7"/>
      <c r="B76" s="7"/>
      <c r="C76" s="7"/>
      <c r="D76" s="7"/>
      <c r="E76" s="7"/>
      <c r="F76" s="7"/>
      <c r="G76" s="24">
        <v>0.42</v>
      </c>
      <c r="H76" s="24">
        <v>6.872000000000001</v>
      </c>
      <c r="I76" s="24">
        <v>7.562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40"/>
      <c r="Y76" s="40"/>
      <c r="Z76" s="7"/>
      <c r="AA76" s="7"/>
      <c r="AB76" s="7"/>
      <c r="AC76" s="7"/>
      <c r="AD76" s="48"/>
      <c r="AE76" s="7"/>
      <c r="AF76" s="7"/>
    </row>
    <row r="77" spans="1:32" ht="12.75" hidden="1">
      <c r="A77" s="7"/>
      <c r="B77" s="7"/>
      <c r="C77" s="7"/>
      <c r="D77" s="7"/>
      <c r="E77" s="7"/>
      <c r="F77" s="7"/>
      <c r="G77" s="24">
        <v>0.43</v>
      </c>
      <c r="H77" s="24">
        <v>6.878000000000001</v>
      </c>
      <c r="I77" s="24">
        <v>7.5680000000000005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40"/>
      <c r="Y77" s="40"/>
      <c r="Z77" s="7"/>
      <c r="AA77" s="7"/>
      <c r="AB77" s="7"/>
      <c r="AC77" s="7"/>
      <c r="AD77" s="48"/>
      <c r="AE77" s="7"/>
      <c r="AF77" s="7"/>
    </row>
    <row r="78" spans="1:32" ht="12.75" hidden="1">
      <c r="A78" s="7"/>
      <c r="B78" s="7"/>
      <c r="C78" s="7"/>
      <c r="D78" s="7"/>
      <c r="E78" s="7"/>
      <c r="F78" s="7"/>
      <c r="G78" s="24">
        <v>0.44</v>
      </c>
      <c r="H78" s="24">
        <v>6.884000000000001</v>
      </c>
      <c r="I78" s="24">
        <v>7.574000000000001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40"/>
      <c r="Y78" s="40"/>
      <c r="Z78" s="7"/>
      <c r="AA78" s="7"/>
      <c r="AB78" s="7"/>
      <c r="AC78" s="7"/>
      <c r="AD78" s="48"/>
      <c r="AE78" s="7"/>
      <c r="AF78" s="7"/>
    </row>
    <row r="79" spans="1:32" ht="12.75" hidden="1">
      <c r="A79" s="7"/>
      <c r="B79" s="7"/>
      <c r="C79" s="7"/>
      <c r="D79" s="7"/>
      <c r="E79" s="7"/>
      <c r="F79" s="7"/>
      <c r="G79" s="24">
        <v>0.45</v>
      </c>
      <c r="H79" s="24">
        <v>6.89</v>
      </c>
      <c r="I79" s="24">
        <v>7.58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40"/>
      <c r="Y79" s="40"/>
      <c r="Z79" s="7"/>
      <c r="AA79" s="7"/>
      <c r="AB79" s="7"/>
      <c r="AC79" s="7"/>
      <c r="AD79" s="48"/>
      <c r="AE79" s="7"/>
      <c r="AF79" s="7"/>
    </row>
    <row r="80" spans="1:32" ht="12.75" hidden="1">
      <c r="A80" s="7"/>
      <c r="B80" s="7"/>
      <c r="C80" s="7"/>
      <c r="D80" s="7"/>
      <c r="E80" s="7"/>
      <c r="F80" s="7"/>
      <c r="G80" s="24">
        <v>0.46</v>
      </c>
      <c r="H80" s="24">
        <v>6.896</v>
      </c>
      <c r="I80" s="24">
        <v>7.584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40"/>
      <c r="Y80" s="40"/>
      <c r="Z80" s="7"/>
      <c r="AA80" s="7"/>
      <c r="AB80" s="7"/>
      <c r="AC80" s="7"/>
      <c r="AD80" s="48"/>
      <c r="AE80" s="7"/>
      <c r="AF80" s="7"/>
    </row>
    <row r="81" spans="1:32" ht="12.75" hidden="1">
      <c r="A81" s="7"/>
      <c r="B81" s="7"/>
      <c r="C81" s="7"/>
      <c r="D81" s="7"/>
      <c r="E81" s="7"/>
      <c r="F81" s="7"/>
      <c r="G81" s="24">
        <v>0.47</v>
      </c>
      <c r="H81" s="24">
        <v>6.902</v>
      </c>
      <c r="I81" s="24">
        <v>7.587999999999999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40"/>
      <c r="Y81" s="40"/>
      <c r="Z81" s="7"/>
      <c r="AA81" s="7"/>
      <c r="AB81" s="7"/>
      <c r="AC81" s="7"/>
      <c r="AD81" s="48"/>
      <c r="AE81" s="7"/>
      <c r="AF81" s="7"/>
    </row>
    <row r="82" spans="1:32" ht="12.75" hidden="1">
      <c r="A82" s="7"/>
      <c r="B82" s="7"/>
      <c r="C82" s="7"/>
      <c r="D82" s="7"/>
      <c r="E82" s="7"/>
      <c r="F82" s="7"/>
      <c r="G82" s="24">
        <v>0.48</v>
      </c>
      <c r="H82" s="24">
        <v>6.908</v>
      </c>
      <c r="I82" s="24">
        <v>7.591999999999999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40"/>
      <c r="Y82" s="40"/>
      <c r="Z82" s="7"/>
      <c r="AA82" s="7"/>
      <c r="AB82" s="7"/>
      <c r="AC82" s="7"/>
      <c r="AD82" s="48"/>
      <c r="AE82" s="7"/>
      <c r="AF82" s="7"/>
    </row>
    <row r="83" spans="1:32" ht="12.75" hidden="1">
      <c r="A83" s="7"/>
      <c r="B83" s="7"/>
      <c r="C83" s="7"/>
      <c r="D83" s="7"/>
      <c r="E83" s="7"/>
      <c r="F83" s="7"/>
      <c r="G83" s="24">
        <v>0.49</v>
      </c>
      <c r="H83" s="24">
        <v>6.914000000000001</v>
      </c>
      <c r="I83" s="24">
        <v>7.595999999999998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40"/>
      <c r="Y83" s="40"/>
      <c r="Z83" s="7"/>
      <c r="AA83" s="7"/>
      <c r="AB83" s="7"/>
      <c r="AC83" s="7"/>
      <c r="AD83" s="48"/>
      <c r="AE83" s="7"/>
      <c r="AF83" s="7"/>
    </row>
    <row r="84" spans="1:32" ht="12.75" hidden="1">
      <c r="A84" s="7"/>
      <c r="B84" s="7"/>
      <c r="C84" s="7"/>
      <c r="D84" s="7"/>
      <c r="E84" s="7"/>
      <c r="F84" s="7"/>
      <c r="G84" s="24">
        <v>0.5</v>
      </c>
      <c r="H84" s="24">
        <v>6.92</v>
      </c>
      <c r="I84" s="24">
        <v>7.6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40"/>
      <c r="Y84" s="40"/>
      <c r="Z84" s="7"/>
      <c r="AA84" s="7"/>
      <c r="AB84" s="7"/>
      <c r="AC84" s="7"/>
      <c r="AD84" s="48"/>
      <c r="AE84" s="7"/>
      <c r="AF84" s="7"/>
    </row>
    <row r="85" spans="1:32" ht="12.75" hidden="1">
      <c r="A85" s="7"/>
      <c r="B85" s="7"/>
      <c r="C85" s="7"/>
      <c r="D85" s="7"/>
      <c r="E85" s="7"/>
      <c r="F85" s="7"/>
      <c r="G85" s="24">
        <v>0.51</v>
      </c>
      <c r="H85" s="24">
        <v>6.922</v>
      </c>
      <c r="I85" s="24">
        <v>7.603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40"/>
      <c r="Y85" s="40"/>
      <c r="Z85" s="7"/>
      <c r="AA85" s="7"/>
      <c r="AB85" s="7"/>
      <c r="AC85" s="7"/>
      <c r="AD85" s="48"/>
      <c r="AE85" s="7"/>
      <c r="AF85" s="7"/>
    </row>
    <row r="86" spans="1:32" ht="12.75" hidden="1">
      <c r="A86" s="7"/>
      <c r="B86" s="7"/>
      <c r="C86" s="7"/>
      <c r="D86" s="7"/>
      <c r="E86" s="7"/>
      <c r="F86" s="7"/>
      <c r="G86" s="24">
        <v>0.52</v>
      </c>
      <c r="H86" s="24">
        <v>6.9239999999999995</v>
      </c>
      <c r="I86" s="24">
        <v>7.606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40"/>
      <c r="Y86" s="40"/>
      <c r="Z86" s="7"/>
      <c r="AA86" s="7"/>
      <c r="AB86" s="7"/>
      <c r="AC86" s="7"/>
      <c r="AD86" s="48"/>
      <c r="AE86" s="7"/>
      <c r="AF86" s="7"/>
    </row>
    <row r="87" spans="1:32" ht="12.75" hidden="1">
      <c r="A87" s="7"/>
      <c r="B87" s="7"/>
      <c r="C87" s="7"/>
      <c r="D87" s="7"/>
      <c r="E87" s="7"/>
      <c r="F87" s="7"/>
      <c r="G87" s="24">
        <v>0.53</v>
      </c>
      <c r="H87" s="24">
        <v>6.925999999999999</v>
      </c>
      <c r="I87" s="24">
        <v>7.609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40"/>
      <c r="Y87" s="40"/>
      <c r="Z87" s="7"/>
      <c r="AA87" s="7"/>
      <c r="AB87" s="7"/>
      <c r="AC87" s="7"/>
      <c r="AD87" s="48"/>
      <c r="AE87" s="7"/>
      <c r="AF87" s="7"/>
    </row>
    <row r="88" spans="1:32" ht="12.75" hidden="1">
      <c r="A88" s="7"/>
      <c r="B88" s="7"/>
      <c r="C88" s="7"/>
      <c r="D88" s="7"/>
      <c r="E88" s="7"/>
      <c r="F88" s="7"/>
      <c r="G88" s="24">
        <v>0.54</v>
      </c>
      <c r="H88" s="24">
        <v>6.927999999999999</v>
      </c>
      <c r="I88" s="24">
        <v>7.612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40"/>
      <c r="Y88" s="40"/>
      <c r="Z88" s="7"/>
      <c r="AA88" s="7"/>
      <c r="AB88" s="7"/>
      <c r="AC88" s="7"/>
      <c r="AD88" s="48"/>
      <c r="AE88" s="7"/>
      <c r="AF88" s="7"/>
    </row>
    <row r="89" spans="1:32" ht="12.75" hidden="1">
      <c r="A89" s="7"/>
      <c r="B89" s="7"/>
      <c r="C89" s="7"/>
      <c r="D89" s="7"/>
      <c r="E89" s="7"/>
      <c r="F89" s="7"/>
      <c r="G89" s="24">
        <v>0.55</v>
      </c>
      <c r="H89" s="24">
        <v>6.93</v>
      </c>
      <c r="I89" s="24">
        <v>7.615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40"/>
      <c r="Y89" s="40"/>
      <c r="Z89" s="7"/>
      <c r="AA89" s="7"/>
      <c r="AB89" s="7"/>
      <c r="AC89" s="7"/>
      <c r="AD89" s="48"/>
      <c r="AE89" s="7"/>
      <c r="AF89" s="7"/>
    </row>
    <row r="90" spans="1:32" ht="12.75" hidden="1">
      <c r="A90" s="7"/>
      <c r="B90" s="7"/>
      <c r="C90" s="7"/>
      <c r="D90" s="7"/>
      <c r="E90" s="7"/>
      <c r="F90" s="7"/>
      <c r="G90" s="24">
        <v>0.56</v>
      </c>
      <c r="H90" s="24">
        <v>6.931999999999999</v>
      </c>
      <c r="I90" s="24">
        <v>7.618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40"/>
      <c r="Y90" s="40"/>
      <c r="Z90" s="7"/>
      <c r="AA90" s="7"/>
      <c r="AB90" s="7"/>
      <c r="AC90" s="7"/>
      <c r="AD90" s="48"/>
      <c r="AE90" s="7"/>
      <c r="AF90" s="7"/>
    </row>
    <row r="91" spans="1:32" ht="12.75" hidden="1">
      <c r="A91" s="7"/>
      <c r="B91" s="7"/>
      <c r="C91" s="7"/>
      <c r="D91" s="7"/>
      <c r="E91" s="7"/>
      <c r="F91" s="7"/>
      <c r="G91" s="24">
        <v>0.57</v>
      </c>
      <c r="H91" s="24">
        <v>6.933999999999998</v>
      </c>
      <c r="I91" s="24">
        <v>7.621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40"/>
      <c r="Y91" s="40"/>
      <c r="Z91" s="7"/>
      <c r="AA91" s="7"/>
      <c r="AB91" s="7"/>
      <c r="AC91" s="7"/>
      <c r="AD91" s="48"/>
      <c r="AE91" s="7"/>
      <c r="AF91" s="7"/>
    </row>
    <row r="92" spans="1:32" ht="12.75" hidden="1">
      <c r="A92" s="7"/>
      <c r="B92" s="7"/>
      <c r="C92" s="7"/>
      <c r="D92" s="7"/>
      <c r="E92" s="7"/>
      <c r="F92" s="7"/>
      <c r="G92" s="24">
        <v>0.58</v>
      </c>
      <c r="H92" s="24">
        <v>6.935999999999998</v>
      </c>
      <c r="I92" s="24">
        <v>7.6240000000000006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40"/>
      <c r="Y92" s="40"/>
      <c r="Z92" s="7"/>
      <c r="AA92" s="7"/>
      <c r="AB92" s="7"/>
      <c r="AC92" s="7"/>
      <c r="AD92" s="48"/>
      <c r="AE92" s="7"/>
      <c r="AF92" s="7"/>
    </row>
    <row r="93" spans="1:32" ht="12.75" hidden="1">
      <c r="A93" s="7"/>
      <c r="B93" s="7"/>
      <c r="C93" s="7"/>
      <c r="D93" s="7"/>
      <c r="E93" s="7"/>
      <c r="F93" s="7"/>
      <c r="G93" s="24">
        <v>0.59</v>
      </c>
      <c r="H93" s="24">
        <v>6.937999999999998</v>
      </c>
      <c r="I93" s="24">
        <v>7.627000000000001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40"/>
      <c r="Y93" s="40"/>
      <c r="Z93" s="7"/>
      <c r="AA93" s="7"/>
      <c r="AB93" s="7"/>
      <c r="AC93" s="7"/>
      <c r="AD93" s="48"/>
      <c r="AE93" s="7"/>
      <c r="AF93" s="7"/>
    </row>
    <row r="94" spans="1:32" ht="12.75" hidden="1">
      <c r="A94" s="7"/>
      <c r="B94" s="7"/>
      <c r="C94" s="7"/>
      <c r="D94" s="7"/>
      <c r="E94" s="7"/>
      <c r="F94" s="7"/>
      <c r="G94" s="24">
        <v>0.6</v>
      </c>
      <c r="H94" s="24">
        <v>6.94</v>
      </c>
      <c r="I94" s="24">
        <v>7.63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40"/>
      <c r="Y94" s="40"/>
      <c r="Z94" s="7"/>
      <c r="AA94" s="7"/>
      <c r="AB94" s="7"/>
      <c r="AC94" s="7"/>
      <c r="AD94" s="48"/>
      <c r="AE94" s="7"/>
      <c r="AF94" s="7"/>
    </row>
    <row r="95" spans="1:32" ht="12.75" hidden="1">
      <c r="A95" s="7"/>
      <c r="B95" s="7"/>
      <c r="C95" s="7"/>
      <c r="D95" s="7"/>
      <c r="E95" s="7"/>
      <c r="F95" s="7"/>
      <c r="G95" s="24">
        <v>0.61</v>
      </c>
      <c r="H95" s="24">
        <v>6.942</v>
      </c>
      <c r="I95" s="24">
        <v>7.632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40"/>
      <c r="Y95" s="40"/>
      <c r="Z95" s="7"/>
      <c r="AA95" s="7"/>
      <c r="AB95" s="7"/>
      <c r="AC95" s="7"/>
      <c r="AD95" s="48"/>
      <c r="AE95" s="7"/>
      <c r="AF95" s="7"/>
    </row>
    <row r="96" spans="1:32" ht="12.75" hidden="1">
      <c r="A96" s="7"/>
      <c r="B96" s="7"/>
      <c r="C96" s="7"/>
      <c r="D96" s="7"/>
      <c r="E96" s="7"/>
      <c r="F96" s="7"/>
      <c r="G96" s="24">
        <v>0.62</v>
      </c>
      <c r="H96" s="24">
        <v>6.944</v>
      </c>
      <c r="I96" s="24">
        <v>7.6339999999999995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40"/>
      <c r="Y96" s="40"/>
      <c r="Z96" s="7"/>
      <c r="AA96" s="7"/>
      <c r="AB96" s="7"/>
      <c r="AC96" s="7"/>
      <c r="AD96" s="48"/>
      <c r="AE96" s="7"/>
      <c r="AF96" s="7"/>
    </row>
    <row r="97" spans="1:32" ht="12.75" hidden="1">
      <c r="A97" s="7"/>
      <c r="B97" s="7"/>
      <c r="C97" s="7"/>
      <c r="D97" s="7"/>
      <c r="E97" s="7"/>
      <c r="F97" s="7"/>
      <c r="G97" s="24">
        <v>0.63</v>
      </c>
      <c r="H97" s="24">
        <v>6.946</v>
      </c>
      <c r="I97" s="24">
        <v>7.635999999999999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40"/>
      <c r="Y97" s="40"/>
      <c r="Z97" s="7"/>
      <c r="AA97" s="7"/>
      <c r="AB97" s="7"/>
      <c r="AC97" s="7"/>
      <c r="AD97" s="48"/>
      <c r="AE97" s="7"/>
      <c r="AF97" s="7"/>
    </row>
    <row r="98" spans="1:32" ht="12.75" hidden="1">
      <c r="A98" s="7"/>
      <c r="B98" s="7"/>
      <c r="C98" s="7"/>
      <c r="D98" s="7"/>
      <c r="E98" s="7"/>
      <c r="F98" s="7"/>
      <c r="G98" s="24">
        <v>0.64</v>
      </c>
      <c r="H98" s="24">
        <v>6.9479999999999995</v>
      </c>
      <c r="I98" s="24">
        <v>7.637999999999999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40"/>
      <c r="Y98" s="40"/>
      <c r="Z98" s="7"/>
      <c r="AA98" s="7"/>
      <c r="AB98" s="7"/>
      <c r="AC98" s="7"/>
      <c r="AD98" s="48"/>
      <c r="AE98" s="7"/>
      <c r="AF98" s="7"/>
    </row>
    <row r="99" spans="1:32" ht="12.75" hidden="1">
      <c r="A99" s="7"/>
      <c r="B99" s="7"/>
      <c r="C99" s="7"/>
      <c r="D99" s="7"/>
      <c r="E99" s="7"/>
      <c r="F99" s="7"/>
      <c r="G99" s="24">
        <v>0.65</v>
      </c>
      <c r="H99" s="24">
        <v>6.95</v>
      </c>
      <c r="I99" s="24">
        <v>7.64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40"/>
      <c r="Y99" s="40"/>
      <c r="Z99" s="7"/>
      <c r="AA99" s="7"/>
      <c r="AB99" s="7"/>
      <c r="AC99" s="7"/>
      <c r="AD99" s="48"/>
      <c r="AE99" s="7"/>
      <c r="AF99" s="7"/>
    </row>
    <row r="100" spans="1:32" ht="12.75" hidden="1">
      <c r="A100" s="7"/>
      <c r="B100" s="7"/>
      <c r="C100" s="7"/>
      <c r="D100" s="7"/>
      <c r="E100" s="7"/>
      <c r="F100" s="7"/>
      <c r="G100" s="24">
        <v>0.66</v>
      </c>
      <c r="H100" s="24">
        <v>6.951999999999999</v>
      </c>
      <c r="I100" s="24">
        <v>7.641999999999999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40"/>
      <c r="Y100" s="40"/>
      <c r="Z100" s="7"/>
      <c r="AA100" s="7"/>
      <c r="AB100" s="7"/>
      <c r="AC100" s="7"/>
      <c r="AD100" s="48"/>
      <c r="AE100" s="7"/>
      <c r="AF100" s="7"/>
    </row>
    <row r="101" spans="1:32" ht="12.75" hidden="1">
      <c r="A101" s="7"/>
      <c r="B101" s="7"/>
      <c r="C101" s="7"/>
      <c r="D101" s="7"/>
      <c r="E101" s="7"/>
      <c r="F101" s="7"/>
      <c r="G101" s="24">
        <v>0.67</v>
      </c>
      <c r="H101" s="24">
        <v>6.953999999999999</v>
      </c>
      <c r="I101" s="24">
        <v>7.643999999999998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40"/>
      <c r="Y101" s="40"/>
      <c r="Z101" s="7"/>
      <c r="AA101" s="7"/>
      <c r="AB101" s="7"/>
      <c r="AC101" s="7"/>
      <c r="AD101" s="48"/>
      <c r="AE101" s="7"/>
      <c r="AF101" s="7"/>
    </row>
    <row r="102" spans="1:32" ht="12.75" hidden="1">
      <c r="A102" s="7"/>
      <c r="B102" s="7"/>
      <c r="C102" s="7"/>
      <c r="D102" s="7"/>
      <c r="E102" s="7"/>
      <c r="F102" s="7"/>
      <c r="G102" s="24">
        <v>0.68</v>
      </c>
      <c r="H102" s="24">
        <v>6.955999999999999</v>
      </c>
      <c r="I102" s="24">
        <v>7.645999999999998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40"/>
      <c r="Y102" s="40"/>
      <c r="Z102" s="7"/>
      <c r="AA102" s="7"/>
      <c r="AB102" s="7"/>
      <c r="AC102" s="7"/>
      <c r="AD102" s="48"/>
      <c r="AE102" s="7"/>
      <c r="AF102" s="7"/>
    </row>
    <row r="103" spans="1:32" ht="12.75" hidden="1">
      <c r="A103" s="7"/>
      <c r="B103" s="7"/>
      <c r="C103" s="7"/>
      <c r="D103" s="7"/>
      <c r="E103" s="7"/>
      <c r="F103" s="7"/>
      <c r="G103" s="24">
        <v>0.69</v>
      </c>
      <c r="H103" s="24">
        <v>6.957999999999998</v>
      </c>
      <c r="I103" s="24">
        <v>7.647999999999998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40"/>
      <c r="Y103" s="40"/>
      <c r="Z103" s="7"/>
      <c r="AA103" s="7"/>
      <c r="AB103" s="7"/>
      <c r="AC103" s="7"/>
      <c r="AD103" s="48"/>
      <c r="AE103" s="7"/>
      <c r="AF103" s="7"/>
    </row>
    <row r="104" spans="1:32" ht="12.75" hidden="1">
      <c r="A104" s="7"/>
      <c r="B104" s="7"/>
      <c r="C104" s="7"/>
      <c r="D104" s="7"/>
      <c r="E104" s="7"/>
      <c r="F104" s="7"/>
      <c r="G104" s="24">
        <v>0.7</v>
      </c>
      <c r="H104" s="24">
        <v>6.96</v>
      </c>
      <c r="I104" s="24">
        <v>7.65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40"/>
      <c r="Y104" s="40"/>
      <c r="Z104" s="7"/>
      <c r="AA104" s="7"/>
      <c r="AB104" s="7"/>
      <c r="AC104" s="7"/>
      <c r="AD104" s="48"/>
      <c r="AE104" s="7"/>
      <c r="AF104" s="7"/>
    </row>
    <row r="105" spans="1:32" ht="12.75" hidden="1">
      <c r="A105" s="7"/>
      <c r="B105" s="7"/>
      <c r="C105" s="7"/>
      <c r="D105" s="7"/>
      <c r="E105" s="7"/>
      <c r="F105" s="7"/>
      <c r="G105" s="24">
        <v>0.71</v>
      </c>
      <c r="H105" s="24">
        <v>6.962</v>
      </c>
      <c r="I105" s="24">
        <v>7.652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40"/>
      <c r="Y105" s="40"/>
      <c r="Z105" s="7"/>
      <c r="AA105" s="7"/>
      <c r="AB105" s="7"/>
      <c r="AC105" s="7"/>
      <c r="AD105" s="48"/>
      <c r="AE105" s="7"/>
      <c r="AF105" s="7"/>
    </row>
    <row r="106" spans="1:32" ht="12.75" hidden="1">
      <c r="A106" s="7"/>
      <c r="B106" s="7"/>
      <c r="C106" s="7"/>
      <c r="D106" s="7"/>
      <c r="E106" s="7"/>
      <c r="F106" s="7"/>
      <c r="G106" s="24">
        <v>0.72</v>
      </c>
      <c r="H106" s="24">
        <v>6.9639999999999995</v>
      </c>
      <c r="I106" s="24">
        <v>7.654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40"/>
      <c r="Y106" s="40"/>
      <c r="Z106" s="7"/>
      <c r="AA106" s="7"/>
      <c r="AB106" s="7"/>
      <c r="AC106" s="7"/>
      <c r="AD106" s="48"/>
      <c r="AE106" s="7"/>
      <c r="AF106" s="7"/>
    </row>
    <row r="107" spans="1:32" ht="12.75" hidden="1">
      <c r="A107" s="7"/>
      <c r="B107" s="7"/>
      <c r="C107" s="7"/>
      <c r="D107" s="7"/>
      <c r="E107" s="7"/>
      <c r="F107" s="7"/>
      <c r="G107" s="24">
        <v>0.73</v>
      </c>
      <c r="H107" s="24">
        <v>6.965999999999999</v>
      </c>
      <c r="I107" s="24">
        <v>7.656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40"/>
      <c r="Y107" s="40"/>
      <c r="Z107" s="7"/>
      <c r="AA107" s="7"/>
      <c r="AB107" s="7"/>
      <c r="AC107" s="7"/>
      <c r="AD107" s="48"/>
      <c r="AE107" s="7"/>
      <c r="AF107" s="7"/>
    </row>
    <row r="108" spans="1:32" ht="12.75" hidden="1">
      <c r="A108" s="7"/>
      <c r="B108" s="7"/>
      <c r="C108" s="7"/>
      <c r="D108" s="7"/>
      <c r="E108" s="7"/>
      <c r="F108" s="7"/>
      <c r="G108" s="24">
        <v>0.74</v>
      </c>
      <c r="H108" s="24">
        <v>6.967999999999999</v>
      </c>
      <c r="I108" s="24">
        <v>7.6579999999999995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40"/>
      <c r="Y108" s="40"/>
      <c r="Z108" s="7"/>
      <c r="AA108" s="7"/>
      <c r="AB108" s="7"/>
      <c r="AC108" s="7"/>
      <c r="AD108" s="48"/>
      <c r="AE108" s="7"/>
      <c r="AF108" s="7"/>
    </row>
    <row r="109" spans="1:32" ht="12.75" hidden="1">
      <c r="A109" s="7"/>
      <c r="B109" s="7"/>
      <c r="C109" s="7"/>
      <c r="D109" s="7"/>
      <c r="E109" s="7"/>
      <c r="F109" s="7"/>
      <c r="G109" s="24">
        <v>0.75</v>
      </c>
      <c r="H109" s="24">
        <v>6.97</v>
      </c>
      <c r="I109" s="24">
        <v>7.66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40"/>
      <c r="Y109" s="40"/>
      <c r="Z109" s="7"/>
      <c r="AA109" s="7"/>
      <c r="AB109" s="7"/>
      <c r="AC109" s="7"/>
      <c r="AD109" s="48"/>
      <c r="AE109" s="7"/>
      <c r="AF109" s="7"/>
    </row>
    <row r="110" spans="1:32" ht="12.75" hidden="1">
      <c r="A110" s="7"/>
      <c r="B110" s="7"/>
      <c r="C110" s="7"/>
      <c r="D110" s="7"/>
      <c r="E110" s="7"/>
      <c r="F110" s="7"/>
      <c r="G110" s="24">
        <v>0.76</v>
      </c>
      <c r="H110" s="24">
        <v>6.971999999999999</v>
      </c>
      <c r="I110" s="24">
        <v>7.661999999999999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40"/>
      <c r="Y110" s="40"/>
      <c r="Z110" s="7"/>
      <c r="AA110" s="7"/>
      <c r="AB110" s="7"/>
      <c r="AC110" s="7"/>
      <c r="AD110" s="48"/>
      <c r="AE110" s="7"/>
      <c r="AF110" s="7"/>
    </row>
    <row r="111" spans="1:32" ht="12.75" hidden="1">
      <c r="A111" s="7"/>
      <c r="B111" s="7"/>
      <c r="C111" s="7"/>
      <c r="D111" s="7"/>
      <c r="E111" s="7"/>
      <c r="F111" s="7"/>
      <c r="G111" s="24">
        <v>0.77</v>
      </c>
      <c r="H111" s="24">
        <v>6.973999999999998</v>
      </c>
      <c r="I111" s="24">
        <v>7.663999999999999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40"/>
      <c r="Y111" s="40"/>
      <c r="Z111" s="7"/>
      <c r="AA111" s="7"/>
      <c r="AB111" s="7"/>
      <c r="AC111" s="7"/>
      <c r="AD111" s="48"/>
      <c r="AE111" s="7"/>
      <c r="AF111" s="7"/>
    </row>
    <row r="112" spans="1:32" ht="12.75" hidden="1">
      <c r="A112" s="7"/>
      <c r="B112" s="7"/>
      <c r="C112" s="7"/>
      <c r="D112" s="7"/>
      <c r="E112" s="7"/>
      <c r="F112" s="7"/>
      <c r="G112" s="24">
        <v>0.78</v>
      </c>
      <c r="H112" s="24">
        <v>6.975999999999998</v>
      </c>
      <c r="I112" s="24">
        <v>7.665999999999999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40"/>
      <c r="Y112" s="40"/>
      <c r="Z112" s="7"/>
      <c r="AA112" s="7"/>
      <c r="AB112" s="7"/>
      <c r="AC112" s="7"/>
      <c r="AD112" s="48"/>
      <c r="AE112" s="7"/>
      <c r="AF112" s="7"/>
    </row>
    <row r="113" spans="1:32" ht="12.75" hidden="1">
      <c r="A113" s="7"/>
      <c r="B113" s="7"/>
      <c r="C113" s="7"/>
      <c r="D113" s="7"/>
      <c r="E113" s="7"/>
      <c r="F113" s="7"/>
      <c r="G113" s="24">
        <v>0.79</v>
      </c>
      <c r="H113" s="24">
        <v>6.977999999999998</v>
      </c>
      <c r="I113" s="24">
        <v>7.667999999999998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40"/>
      <c r="Y113" s="40"/>
      <c r="Z113" s="7"/>
      <c r="AA113" s="7"/>
      <c r="AB113" s="7"/>
      <c r="AC113" s="7"/>
      <c r="AD113" s="48"/>
      <c r="AE113" s="7"/>
      <c r="AF113" s="7"/>
    </row>
    <row r="114" spans="1:32" ht="12.75" hidden="1">
      <c r="A114" s="7"/>
      <c r="B114" s="7"/>
      <c r="C114" s="7"/>
      <c r="D114" s="7"/>
      <c r="E114" s="7"/>
      <c r="F114" s="7"/>
      <c r="G114" s="24">
        <v>0.8</v>
      </c>
      <c r="H114" s="24">
        <v>6.98</v>
      </c>
      <c r="I114" s="24">
        <v>7.67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40"/>
      <c r="Y114" s="40"/>
      <c r="Z114" s="7"/>
      <c r="AA114" s="7"/>
      <c r="AB114" s="7"/>
      <c r="AC114" s="7"/>
      <c r="AD114" s="48"/>
      <c r="AE114" s="7"/>
      <c r="AF114" s="7"/>
    </row>
    <row r="115" spans="1:32" ht="12.75" hidden="1">
      <c r="A115" s="7"/>
      <c r="B115" s="7"/>
      <c r="C115" s="7"/>
      <c r="D115" s="7"/>
      <c r="E115" s="7"/>
      <c r="F115" s="7"/>
      <c r="G115" s="24">
        <v>0.81</v>
      </c>
      <c r="H115" s="24">
        <v>6.981000000000001</v>
      </c>
      <c r="I115" s="24">
        <v>7.672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40"/>
      <c r="Y115" s="40"/>
      <c r="Z115" s="7"/>
      <c r="AA115" s="7"/>
      <c r="AB115" s="7"/>
      <c r="AC115" s="7"/>
      <c r="AD115" s="48"/>
      <c r="AE115" s="7"/>
      <c r="AF115" s="7"/>
    </row>
    <row r="116" spans="1:32" ht="12.75" hidden="1">
      <c r="A116" s="7"/>
      <c r="B116" s="7"/>
      <c r="C116" s="7"/>
      <c r="D116" s="7"/>
      <c r="E116" s="7"/>
      <c r="F116" s="7"/>
      <c r="G116" s="24">
        <v>0.82</v>
      </c>
      <c r="H116" s="24">
        <v>6.982000000000001</v>
      </c>
      <c r="I116" s="24">
        <v>7.6739999999999995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40"/>
      <c r="Y116" s="40"/>
      <c r="Z116" s="7"/>
      <c r="AA116" s="7"/>
      <c r="AB116" s="7"/>
      <c r="AC116" s="7"/>
      <c r="AD116" s="48"/>
      <c r="AE116" s="7"/>
      <c r="AF116" s="7"/>
    </row>
    <row r="117" spans="1:32" ht="12.75" hidden="1">
      <c r="A117" s="7"/>
      <c r="B117" s="7"/>
      <c r="C117" s="7"/>
      <c r="D117" s="7"/>
      <c r="E117" s="7"/>
      <c r="F117" s="7"/>
      <c r="G117" s="24">
        <v>0.83</v>
      </c>
      <c r="H117" s="24">
        <v>6.983000000000001</v>
      </c>
      <c r="I117" s="24">
        <v>7.675999999999999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40"/>
      <c r="Y117" s="40"/>
      <c r="Z117" s="7"/>
      <c r="AA117" s="7"/>
      <c r="AB117" s="7"/>
      <c r="AC117" s="7"/>
      <c r="AD117" s="48"/>
      <c r="AE117" s="7"/>
      <c r="AF117" s="7"/>
    </row>
    <row r="118" spans="1:32" ht="12.75" hidden="1">
      <c r="A118" s="7"/>
      <c r="B118" s="7"/>
      <c r="C118" s="7"/>
      <c r="D118" s="7"/>
      <c r="E118" s="7"/>
      <c r="F118" s="7"/>
      <c r="G118" s="24">
        <v>0.84</v>
      </c>
      <c r="H118" s="24">
        <v>6.984000000000002</v>
      </c>
      <c r="I118" s="24">
        <v>7.677999999999999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40"/>
      <c r="Y118" s="40"/>
      <c r="Z118" s="7"/>
      <c r="AA118" s="7"/>
      <c r="AB118" s="7"/>
      <c r="AC118" s="7"/>
      <c r="AD118" s="48"/>
      <c r="AE118" s="7"/>
      <c r="AF118" s="7"/>
    </row>
    <row r="119" spans="1:32" ht="12.75" hidden="1">
      <c r="A119" s="7"/>
      <c r="B119" s="7"/>
      <c r="C119" s="7"/>
      <c r="D119" s="7"/>
      <c r="E119" s="7"/>
      <c r="F119" s="7"/>
      <c r="G119" s="24">
        <v>0.85</v>
      </c>
      <c r="H119" s="24">
        <v>6.985</v>
      </c>
      <c r="I119" s="24">
        <v>7.68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40"/>
      <c r="Y119" s="40"/>
      <c r="Z119" s="7"/>
      <c r="AA119" s="7"/>
      <c r="AB119" s="7"/>
      <c r="AC119" s="7"/>
      <c r="AD119" s="48"/>
      <c r="AE119" s="7"/>
      <c r="AF119" s="7"/>
    </row>
    <row r="120" spans="1:32" ht="12.75" hidden="1">
      <c r="A120" s="7"/>
      <c r="B120" s="7"/>
      <c r="C120" s="7"/>
      <c r="D120" s="7"/>
      <c r="E120" s="7"/>
      <c r="F120" s="7"/>
      <c r="G120" s="24">
        <v>0.86</v>
      </c>
      <c r="H120" s="24">
        <v>6.986000000000002</v>
      </c>
      <c r="I120" s="24">
        <v>7.681999999999999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40"/>
      <c r="Y120" s="40"/>
      <c r="Z120" s="7"/>
      <c r="AA120" s="7"/>
      <c r="AB120" s="7"/>
      <c r="AC120" s="7"/>
      <c r="AD120" s="48"/>
      <c r="AE120" s="7"/>
      <c r="AF120" s="7"/>
    </row>
    <row r="121" spans="1:32" ht="12.75" hidden="1">
      <c r="A121" s="7"/>
      <c r="B121" s="7"/>
      <c r="C121" s="7"/>
      <c r="D121" s="7"/>
      <c r="E121" s="7"/>
      <c r="F121" s="7"/>
      <c r="G121" s="24">
        <v>0.869999999999999</v>
      </c>
      <c r="H121" s="24">
        <v>6.987000000000003</v>
      </c>
      <c r="I121" s="24">
        <v>7.683999999999998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40"/>
      <c r="Y121" s="40"/>
      <c r="Z121" s="7"/>
      <c r="AA121" s="7"/>
      <c r="AB121" s="7"/>
      <c r="AC121" s="7"/>
      <c r="AD121" s="48"/>
      <c r="AE121" s="7"/>
      <c r="AF121" s="7"/>
    </row>
    <row r="122" spans="1:32" ht="12.75" hidden="1">
      <c r="A122" s="7"/>
      <c r="B122" s="7"/>
      <c r="C122" s="7"/>
      <c r="D122" s="7"/>
      <c r="E122" s="7"/>
      <c r="F122" s="7"/>
      <c r="G122" s="24">
        <v>0.879999999999999</v>
      </c>
      <c r="H122" s="24">
        <v>6.988000000000003</v>
      </c>
      <c r="I122" s="24">
        <v>7.685999999999998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40"/>
      <c r="Y122" s="40"/>
      <c r="Z122" s="7"/>
      <c r="AA122" s="7"/>
      <c r="AB122" s="7"/>
      <c r="AC122" s="7"/>
      <c r="AD122" s="48"/>
      <c r="AE122" s="7"/>
      <c r="AF122" s="7"/>
    </row>
    <row r="123" spans="1:32" ht="12.75" hidden="1">
      <c r="A123" s="7"/>
      <c r="B123" s="7"/>
      <c r="C123" s="7"/>
      <c r="D123" s="7"/>
      <c r="E123" s="7"/>
      <c r="F123" s="7"/>
      <c r="G123" s="24">
        <v>0.889999999999999</v>
      </c>
      <c r="H123" s="24">
        <v>6.989000000000003</v>
      </c>
      <c r="I123" s="24">
        <v>7.687999999999998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40"/>
      <c r="Y123" s="40"/>
      <c r="Z123" s="7"/>
      <c r="AA123" s="7"/>
      <c r="AB123" s="7"/>
      <c r="AC123" s="7"/>
      <c r="AD123" s="48"/>
      <c r="AE123" s="7"/>
      <c r="AF123" s="7"/>
    </row>
    <row r="124" spans="1:32" ht="12.75" hidden="1">
      <c r="A124" s="7"/>
      <c r="B124" s="7"/>
      <c r="C124" s="7"/>
      <c r="D124" s="7"/>
      <c r="E124" s="7"/>
      <c r="F124" s="7"/>
      <c r="G124" s="24">
        <v>0.899999999999999</v>
      </c>
      <c r="H124" s="24">
        <v>6.99</v>
      </c>
      <c r="I124" s="24">
        <v>7.69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40"/>
      <c r="Y124" s="40"/>
      <c r="Z124" s="7"/>
      <c r="AA124" s="7"/>
      <c r="AB124" s="7"/>
      <c r="AC124" s="7"/>
      <c r="AD124" s="48"/>
      <c r="AE124" s="7"/>
      <c r="AF124" s="7"/>
    </row>
    <row r="125" spans="1:32" ht="12.75" hidden="1">
      <c r="A125" s="7"/>
      <c r="B125" s="7"/>
      <c r="C125" s="7"/>
      <c r="D125" s="7"/>
      <c r="E125" s="7"/>
      <c r="F125" s="7"/>
      <c r="G125" s="24">
        <v>0.909999999999999</v>
      </c>
      <c r="H125" s="24">
        <v>6.991000000000004</v>
      </c>
      <c r="I125" s="24">
        <v>7.6919999999999975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40"/>
      <c r="Y125" s="40"/>
      <c r="Z125" s="7"/>
      <c r="AA125" s="7"/>
      <c r="AB125" s="7"/>
      <c r="AC125" s="7"/>
      <c r="AD125" s="48"/>
      <c r="AE125" s="7"/>
      <c r="AF125" s="7"/>
    </row>
    <row r="126" spans="1:32" ht="12.75" hidden="1">
      <c r="A126" s="7"/>
      <c r="B126" s="7"/>
      <c r="C126" s="7"/>
      <c r="D126" s="7"/>
      <c r="E126" s="7"/>
      <c r="F126" s="7"/>
      <c r="G126" s="24">
        <v>0.919999999999999</v>
      </c>
      <c r="H126" s="24">
        <v>6.992000000000004</v>
      </c>
      <c r="I126" s="24">
        <v>7.693999999999997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40"/>
      <c r="Y126" s="40"/>
      <c r="Z126" s="7"/>
      <c r="AA126" s="7"/>
      <c r="AB126" s="7"/>
      <c r="AC126" s="7"/>
      <c r="AD126" s="48"/>
      <c r="AE126" s="7"/>
      <c r="AF126" s="7"/>
    </row>
    <row r="127" spans="1:32" ht="12.75" hidden="1">
      <c r="A127" s="7"/>
      <c r="B127" s="7"/>
      <c r="C127" s="7"/>
      <c r="D127" s="7"/>
      <c r="E127" s="7"/>
      <c r="F127" s="7"/>
      <c r="G127" s="24">
        <v>0.9</v>
      </c>
      <c r="H127" s="24">
        <v>6.99</v>
      </c>
      <c r="I127" s="24">
        <v>7.69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40"/>
      <c r="Y127" s="40"/>
      <c r="Z127" s="7"/>
      <c r="AA127" s="7"/>
      <c r="AB127" s="7"/>
      <c r="AC127" s="7"/>
      <c r="AD127" s="48"/>
      <c r="AE127" s="7"/>
      <c r="AF127" s="7"/>
    </row>
    <row r="128" spans="1:32" ht="12.75" hidden="1">
      <c r="A128" s="7"/>
      <c r="B128" s="7"/>
      <c r="C128" s="7"/>
      <c r="D128" s="7"/>
      <c r="E128" s="7"/>
      <c r="F128" s="7"/>
      <c r="G128" s="24">
        <v>0.91</v>
      </c>
      <c r="H128" s="24">
        <v>6.9910000000000005</v>
      </c>
      <c r="I128" s="24">
        <v>7.691000000000001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40"/>
      <c r="Y128" s="40"/>
      <c r="Z128" s="7"/>
      <c r="AA128" s="7"/>
      <c r="AB128" s="7"/>
      <c r="AC128" s="7"/>
      <c r="AD128" s="48"/>
      <c r="AE128" s="7"/>
      <c r="AF128" s="7"/>
    </row>
    <row r="129" spans="1:32" ht="12.75" hidden="1">
      <c r="A129" s="7"/>
      <c r="B129" s="7"/>
      <c r="C129" s="7"/>
      <c r="D129" s="7"/>
      <c r="E129" s="7"/>
      <c r="F129" s="7"/>
      <c r="G129" s="24">
        <v>0.92</v>
      </c>
      <c r="H129" s="24">
        <v>6.992000000000001</v>
      </c>
      <c r="I129" s="24">
        <v>7.692000000000001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40"/>
      <c r="Y129" s="40"/>
      <c r="Z129" s="7"/>
      <c r="AA129" s="7"/>
      <c r="AB129" s="7"/>
      <c r="AC129" s="7"/>
      <c r="AD129" s="48"/>
      <c r="AE129" s="7"/>
      <c r="AF129" s="7"/>
    </row>
    <row r="130" spans="1:32" ht="12.75" hidden="1">
      <c r="A130" s="7"/>
      <c r="B130" s="7"/>
      <c r="C130" s="7"/>
      <c r="D130" s="7"/>
      <c r="E130" s="7"/>
      <c r="F130" s="7"/>
      <c r="G130" s="24">
        <v>0.93</v>
      </c>
      <c r="H130" s="24">
        <v>6.993000000000001</v>
      </c>
      <c r="I130" s="24">
        <v>7.693000000000001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40"/>
      <c r="Y130" s="40"/>
      <c r="Z130" s="7"/>
      <c r="AA130" s="7"/>
      <c r="AB130" s="7"/>
      <c r="AC130" s="7"/>
      <c r="AD130" s="48"/>
      <c r="AE130" s="7"/>
      <c r="AF130" s="7"/>
    </row>
    <row r="131" spans="1:32" ht="12.75" hidden="1">
      <c r="A131" s="7"/>
      <c r="B131" s="7"/>
      <c r="C131" s="7"/>
      <c r="D131" s="7"/>
      <c r="E131" s="7"/>
      <c r="F131" s="7"/>
      <c r="G131" s="24">
        <v>0.94</v>
      </c>
      <c r="H131" s="24">
        <v>6.9940000000000015</v>
      </c>
      <c r="I131" s="24">
        <v>7.694000000000002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40"/>
      <c r="Y131" s="40"/>
      <c r="Z131" s="7"/>
      <c r="AA131" s="7"/>
      <c r="AB131" s="7"/>
      <c r="AC131" s="7"/>
      <c r="AD131" s="48"/>
      <c r="AE131" s="7"/>
      <c r="AF131" s="7"/>
    </row>
    <row r="132" spans="1:32" ht="12.75" hidden="1">
      <c r="A132" s="7"/>
      <c r="B132" s="7"/>
      <c r="C132" s="7"/>
      <c r="D132" s="7"/>
      <c r="E132" s="7"/>
      <c r="F132" s="7"/>
      <c r="G132" s="24">
        <v>0.95</v>
      </c>
      <c r="H132" s="24">
        <v>6.995</v>
      </c>
      <c r="I132" s="24">
        <v>7.695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40"/>
      <c r="Y132" s="40"/>
      <c r="Z132" s="7"/>
      <c r="AA132" s="7"/>
      <c r="AB132" s="7"/>
      <c r="AC132" s="7"/>
      <c r="AD132" s="48"/>
      <c r="AE132" s="7"/>
      <c r="AF132" s="7"/>
    </row>
    <row r="133" spans="1:32" ht="12.75" hidden="1">
      <c r="A133" s="7"/>
      <c r="B133" s="7"/>
      <c r="C133" s="7"/>
      <c r="D133" s="7"/>
      <c r="E133" s="7"/>
      <c r="F133" s="7"/>
      <c r="G133" s="24">
        <v>0.96</v>
      </c>
      <c r="H133" s="24">
        <v>6.996000000000002</v>
      </c>
      <c r="I133" s="24">
        <v>7.696000000000002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40"/>
      <c r="Y133" s="40"/>
      <c r="Z133" s="7"/>
      <c r="AA133" s="7"/>
      <c r="AB133" s="7"/>
      <c r="AC133" s="7"/>
      <c r="AD133" s="48"/>
      <c r="AE133" s="7"/>
      <c r="AF133" s="7"/>
    </row>
    <row r="134" spans="1:32" ht="12.75" hidden="1">
      <c r="A134" s="7"/>
      <c r="B134" s="7"/>
      <c r="C134" s="7"/>
      <c r="D134" s="7"/>
      <c r="E134" s="7"/>
      <c r="F134" s="7"/>
      <c r="G134" s="24">
        <v>0.97</v>
      </c>
      <c r="H134" s="24">
        <v>6.9970000000000026</v>
      </c>
      <c r="I134" s="24">
        <v>7.697000000000003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40"/>
      <c r="Y134" s="40"/>
      <c r="Z134" s="7"/>
      <c r="AA134" s="7"/>
      <c r="AB134" s="7"/>
      <c r="AC134" s="7"/>
      <c r="AD134" s="48"/>
      <c r="AE134" s="7"/>
      <c r="AF134" s="7"/>
    </row>
    <row r="135" spans="1:32" ht="12.75" hidden="1">
      <c r="A135" s="7"/>
      <c r="B135" s="7"/>
      <c r="C135" s="7"/>
      <c r="D135" s="7"/>
      <c r="E135" s="7"/>
      <c r="F135" s="7"/>
      <c r="G135" s="24">
        <v>0.98</v>
      </c>
      <c r="H135" s="24">
        <v>6.998000000000003</v>
      </c>
      <c r="I135" s="24">
        <v>7.698000000000003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40"/>
      <c r="Y135" s="40"/>
      <c r="Z135" s="7"/>
      <c r="AA135" s="7"/>
      <c r="AB135" s="7"/>
      <c r="AC135" s="7"/>
      <c r="AD135" s="48"/>
      <c r="AE135" s="7"/>
      <c r="AF135" s="7"/>
    </row>
    <row r="136" spans="1:32" ht="12.75" hidden="1">
      <c r="A136" s="7"/>
      <c r="B136" s="7"/>
      <c r="C136" s="7"/>
      <c r="D136" s="7"/>
      <c r="E136" s="7"/>
      <c r="F136" s="7"/>
      <c r="G136" s="24">
        <v>0.99</v>
      </c>
      <c r="H136" s="24">
        <v>6.999000000000003</v>
      </c>
      <c r="I136" s="24">
        <v>7.699000000000003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40"/>
      <c r="Y136" s="40"/>
      <c r="Z136" s="7"/>
      <c r="AA136" s="7"/>
      <c r="AB136" s="7"/>
      <c r="AC136" s="7"/>
      <c r="AD136" s="48"/>
      <c r="AE136" s="7"/>
      <c r="AF136" s="7"/>
    </row>
    <row r="137" spans="1:32" ht="12.75" hidden="1">
      <c r="A137" s="7"/>
      <c r="B137" s="7"/>
      <c r="C137" s="7"/>
      <c r="D137" s="7"/>
      <c r="E137" s="7"/>
      <c r="F137" s="7"/>
      <c r="G137" s="24">
        <v>1</v>
      </c>
      <c r="H137" s="24">
        <v>7</v>
      </c>
      <c r="I137" s="24">
        <v>7.7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40"/>
      <c r="Y137" s="40"/>
      <c r="Z137" s="7"/>
      <c r="AA137" s="7"/>
      <c r="AB137" s="7"/>
      <c r="AC137" s="7"/>
      <c r="AD137" s="48"/>
      <c r="AE137" s="7"/>
      <c r="AF137" s="7"/>
    </row>
    <row r="138" spans="1:32" ht="18.75">
      <c r="A138" s="7"/>
      <c r="B138" s="7"/>
      <c r="C138" s="7"/>
      <c r="D138" s="7"/>
      <c r="E138" s="7"/>
      <c r="F138" s="7"/>
      <c r="G138" s="7" t="s">
        <v>146</v>
      </c>
      <c r="H138" s="7"/>
      <c r="I138" s="7">
        <v>1</v>
      </c>
      <c r="J138" s="7"/>
      <c r="K138" s="63">
        <v>2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48"/>
      <c r="AE138" s="7"/>
      <c r="AF138" s="7"/>
    </row>
    <row r="139" spans="1:3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48"/>
      <c r="AE139" s="7"/>
      <c r="AF139" s="7"/>
    </row>
    <row r="140" spans="1:32" ht="18.75">
      <c r="A140" s="7"/>
      <c r="B140" s="7"/>
      <c r="C140" s="7"/>
      <c r="D140" s="7"/>
      <c r="E140" s="7"/>
      <c r="F140" s="7"/>
      <c r="G140" s="7" t="s">
        <v>147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48"/>
      <c r="AE140" s="7"/>
      <c r="AF140" s="7"/>
    </row>
    <row r="141" spans="1:3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48"/>
      <c r="AE141" s="7"/>
      <c r="AF141" s="7"/>
    </row>
    <row r="142" spans="1:32" ht="16.5">
      <c r="A142" s="7"/>
      <c r="B142" s="7"/>
      <c r="C142" s="7"/>
      <c r="D142" s="7"/>
      <c r="E142" s="7"/>
      <c r="F142" s="7"/>
      <c r="G142" s="7"/>
      <c r="H142" s="7" t="s">
        <v>46</v>
      </c>
      <c r="I142" s="40">
        <f>+I138</f>
        <v>1</v>
      </c>
      <c r="J142" s="358">
        <f>+X32</f>
        <v>7.098000000000001</v>
      </c>
      <c r="K142" s="358"/>
      <c r="L142" s="64" t="s">
        <v>111</v>
      </c>
      <c r="M142" s="358">
        <f>+N10</f>
        <v>550</v>
      </c>
      <c r="N142" s="358"/>
      <c r="O142" s="64" t="s">
        <v>112</v>
      </c>
      <c r="P142" s="358">
        <v>100</v>
      </c>
      <c r="Q142" s="358"/>
      <c r="R142" s="367">
        <f>K13</f>
        <v>30</v>
      </c>
      <c r="S142" s="358"/>
      <c r="T142" s="64" t="s">
        <v>148</v>
      </c>
      <c r="U142" s="367">
        <f>K13</f>
        <v>30</v>
      </c>
      <c r="V142" s="358"/>
      <c r="W142" s="7"/>
      <c r="X142" s="7"/>
      <c r="Y142" s="7"/>
      <c r="Z142" s="7"/>
      <c r="AA142" s="7"/>
      <c r="AB142" s="7"/>
      <c r="AC142" s="7"/>
      <c r="AD142" s="48"/>
      <c r="AE142" s="7"/>
      <c r="AF142" s="7"/>
    </row>
    <row r="143" spans="1:32" ht="12.75">
      <c r="A143" s="7"/>
      <c r="B143" s="7"/>
      <c r="C143" s="7"/>
      <c r="D143" s="7"/>
      <c r="E143" s="7"/>
      <c r="F143" s="7"/>
      <c r="G143" s="7"/>
      <c r="H143" s="7" t="s">
        <v>46</v>
      </c>
      <c r="I143" s="364">
        <f>I142*J142*U142*(M142/(P142*R142))^2</f>
        <v>7.15715</v>
      </c>
      <c r="J143" s="364"/>
      <c r="K143" s="364"/>
      <c r="L143" s="7" t="s">
        <v>42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48"/>
      <c r="AE143" s="7"/>
      <c r="AF143" s="7"/>
    </row>
    <row r="144" spans="1:3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48"/>
      <c r="AE144" s="7"/>
      <c r="AF144" s="7"/>
    </row>
    <row r="145" spans="1:32" ht="12.75">
      <c r="A145" s="7"/>
      <c r="B145" s="7"/>
      <c r="C145" s="7"/>
      <c r="D145" s="7"/>
      <c r="E145" s="7"/>
      <c r="F145" s="7"/>
      <c r="G145" s="7" t="s">
        <v>113</v>
      </c>
      <c r="H145" s="7" t="s">
        <v>46</v>
      </c>
      <c r="I145" s="64" t="s">
        <v>114</v>
      </c>
      <c r="J145" s="7"/>
      <c r="K145" s="7"/>
      <c r="L145" s="7" t="s">
        <v>46</v>
      </c>
      <c r="M145" s="365">
        <f>0.15*K13</f>
        <v>4.5</v>
      </c>
      <c r="N145" s="366"/>
      <c r="O145" s="7" t="s">
        <v>42</v>
      </c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48"/>
      <c r="AE145" s="7"/>
      <c r="AF145" s="7"/>
    </row>
    <row r="146" spans="1:3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48"/>
      <c r="AE146" s="7"/>
      <c r="AF146" s="7"/>
    </row>
    <row r="147" spans="1:32" ht="12.75">
      <c r="A147" s="7"/>
      <c r="B147" s="7"/>
      <c r="C147" s="7"/>
      <c r="D147" s="7"/>
      <c r="E147" s="7"/>
      <c r="F147" s="7"/>
      <c r="G147" s="7" t="s">
        <v>115</v>
      </c>
      <c r="H147" s="7" t="s">
        <v>46</v>
      </c>
      <c r="I147" s="7" t="s">
        <v>116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48"/>
      <c r="AE147" s="7"/>
      <c r="AF147" s="7"/>
    </row>
    <row r="148" spans="1:32" ht="12.75">
      <c r="A148" s="7"/>
      <c r="B148" s="7"/>
      <c r="C148" s="7"/>
      <c r="D148" s="7"/>
      <c r="E148" s="7"/>
      <c r="F148" s="7"/>
      <c r="G148" s="7"/>
      <c r="H148" s="7" t="s">
        <v>46</v>
      </c>
      <c r="I148" s="363">
        <f>+M27</f>
        <v>4.183641077640143</v>
      </c>
      <c r="J148" s="358"/>
      <c r="K148" s="64" t="s">
        <v>117</v>
      </c>
      <c r="L148" s="371">
        <f>+I143</f>
        <v>7.15715</v>
      </c>
      <c r="M148" s="371"/>
      <c r="N148" s="371"/>
      <c r="O148" s="64" t="s">
        <v>117</v>
      </c>
      <c r="P148" s="358">
        <f>+M145</f>
        <v>4.5</v>
      </c>
      <c r="Q148" s="358"/>
      <c r="R148" s="7" t="s">
        <v>46</v>
      </c>
      <c r="S148" s="363">
        <f>+P148+L148+I148</f>
        <v>15.840791077640143</v>
      </c>
      <c r="T148" s="358"/>
      <c r="U148" s="358"/>
      <c r="V148" s="7" t="s">
        <v>42</v>
      </c>
      <c r="W148" s="7"/>
      <c r="X148" s="7"/>
      <c r="Y148" s="7"/>
      <c r="Z148" s="7"/>
      <c r="AA148" s="7"/>
      <c r="AB148" s="7"/>
      <c r="AC148" s="7"/>
      <c r="AD148" s="48"/>
      <c r="AE148" s="7"/>
      <c r="AF148" s="7"/>
    </row>
    <row r="149" spans="1:3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48"/>
      <c r="AE149" s="7"/>
      <c r="AF149" s="7"/>
    </row>
    <row r="150" spans="1:32" ht="12.75">
      <c r="A150" s="7"/>
      <c r="B150" s="7"/>
      <c r="C150" s="7"/>
      <c r="D150" s="7"/>
      <c r="E150" s="7"/>
      <c r="F150" s="7"/>
      <c r="G150" s="7" t="s">
        <v>118</v>
      </c>
      <c r="H150" s="7"/>
      <c r="I150" s="7"/>
      <c r="J150" s="7" t="s">
        <v>119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48"/>
      <c r="AE150" s="7"/>
      <c r="AF150" s="7"/>
    </row>
    <row r="151" spans="1:32" ht="12.75">
      <c r="A151" s="7"/>
      <c r="B151" s="7"/>
      <c r="C151" s="7"/>
      <c r="D151" s="7"/>
      <c r="E151" s="7"/>
      <c r="F151" s="7"/>
      <c r="G151" s="7"/>
      <c r="H151" s="7" t="s">
        <v>46</v>
      </c>
      <c r="I151" s="363">
        <f>+S148</f>
        <v>15.840791077640143</v>
      </c>
      <c r="J151" s="363"/>
      <c r="K151" s="363"/>
      <c r="L151" s="64" t="s">
        <v>117</v>
      </c>
      <c r="M151" s="66">
        <f>0.5*K13</f>
        <v>15</v>
      </c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48"/>
      <c r="AE151" s="7"/>
      <c r="AF151" s="7"/>
    </row>
    <row r="152" spans="1:32" ht="12.75">
      <c r="A152" s="7"/>
      <c r="B152" s="7"/>
      <c r="C152" s="7"/>
      <c r="D152" s="7"/>
      <c r="E152" s="7"/>
      <c r="F152" s="7"/>
      <c r="G152" s="7"/>
      <c r="H152" s="7" t="s">
        <v>46</v>
      </c>
      <c r="I152" s="363">
        <f>+I151+M151</f>
        <v>30.84079107764014</v>
      </c>
      <c r="J152" s="363"/>
      <c r="K152" s="363"/>
      <c r="L152" s="7" t="s">
        <v>42</v>
      </c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48"/>
      <c r="AE152" s="7"/>
      <c r="AF152" s="7"/>
    </row>
    <row r="153" spans="1:3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48"/>
      <c r="AE153" s="7"/>
      <c r="AF153" s="7"/>
    </row>
    <row r="154" spans="1:32" ht="12.75">
      <c r="A154" s="7"/>
      <c r="B154" s="7"/>
      <c r="C154" s="7"/>
      <c r="D154" s="7"/>
      <c r="E154" s="7"/>
      <c r="F154" s="7"/>
      <c r="G154" s="7" t="s">
        <v>120</v>
      </c>
      <c r="H154" s="7"/>
      <c r="I154" s="7"/>
      <c r="J154" s="7"/>
      <c r="K154" s="363">
        <f>+K8</f>
        <v>9438.03</v>
      </c>
      <c r="L154" s="363"/>
      <c r="M154" s="363"/>
      <c r="N154" s="363"/>
      <c r="O154" s="7" t="s">
        <v>121</v>
      </c>
      <c r="P154" s="363">
        <f>+I152</f>
        <v>30.84079107764014</v>
      </c>
      <c r="Q154" s="363"/>
      <c r="R154" s="363"/>
      <c r="S154" s="7" t="s">
        <v>46</v>
      </c>
      <c r="T154" s="363">
        <f>+P154*K154</f>
        <v>291076.3114145</v>
      </c>
      <c r="U154" s="363"/>
      <c r="V154" s="363"/>
      <c r="W154" s="363"/>
      <c r="X154" s="363"/>
      <c r="Y154" s="7" t="s">
        <v>122</v>
      </c>
      <c r="Z154" s="7"/>
      <c r="AA154" s="7"/>
      <c r="AB154" s="7"/>
      <c r="AC154" s="7"/>
      <c r="AD154" s="48"/>
      <c r="AE154" s="7"/>
      <c r="AF154" s="7"/>
    </row>
    <row r="155" spans="1:3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 t="s">
        <v>46</v>
      </c>
      <c r="T155" s="7"/>
      <c r="U155" s="369">
        <f>+T154/100</f>
        <v>2910.763114145</v>
      </c>
      <c r="V155" s="369"/>
      <c r="W155" s="369"/>
      <c r="X155" s="369"/>
      <c r="Y155" s="7" t="s">
        <v>101</v>
      </c>
      <c r="Z155" s="7"/>
      <c r="AA155" s="7"/>
      <c r="AB155" s="7"/>
      <c r="AC155" s="7"/>
      <c r="AD155" s="48"/>
      <c r="AE155" s="7"/>
      <c r="AF155" s="7"/>
    </row>
    <row r="156" spans="1:3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48"/>
      <c r="AE156" s="7"/>
      <c r="AF156" s="7"/>
    </row>
    <row r="157" spans="1:3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48"/>
      <c r="AE157" s="7"/>
      <c r="AF157" s="7"/>
    </row>
    <row r="158" spans="1:32" ht="12.75">
      <c r="A158" s="7"/>
      <c r="B158" s="67" t="s">
        <v>123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48"/>
      <c r="AE158" s="7"/>
      <c r="AF158" s="7"/>
    </row>
    <row r="159" spans="1:32" ht="12.75">
      <c r="A159" s="7"/>
      <c r="B159" s="7"/>
      <c r="C159" s="7"/>
      <c r="D159" s="64" t="s">
        <v>124</v>
      </c>
      <c r="E159" s="7"/>
      <c r="F159" s="7"/>
      <c r="G159" s="7"/>
      <c r="H159" s="7"/>
      <c r="I159" s="7"/>
      <c r="J159" s="7"/>
      <c r="K159" s="7"/>
      <c r="L159" s="7"/>
      <c r="M159" s="367">
        <f>K13*10</f>
        <v>300</v>
      </c>
      <c r="N159" s="358"/>
      <c r="O159" s="358"/>
      <c r="P159" s="7" t="s">
        <v>71</v>
      </c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48"/>
      <c r="AE159" s="7"/>
      <c r="AF159" s="7"/>
    </row>
    <row r="160" spans="1:32" ht="12.75">
      <c r="A160" s="7"/>
      <c r="B160" s="7"/>
      <c r="C160" s="7"/>
      <c r="D160" s="64" t="s">
        <v>125</v>
      </c>
      <c r="E160" s="7"/>
      <c r="F160" s="7"/>
      <c r="G160" s="7"/>
      <c r="H160" s="7"/>
      <c r="I160" s="7"/>
      <c r="J160" s="7"/>
      <c r="K160" s="7"/>
      <c r="L160" s="7"/>
      <c r="M160" s="358">
        <v>20</v>
      </c>
      <c r="N160" s="358"/>
      <c r="O160" s="358"/>
      <c r="P160" s="7" t="s">
        <v>71</v>
      </c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48"/>
      <c r="AE160" s="7"/>
      <c r="AF160" s="7"/>
    </row>
    <row r="161" spans="1:32" ht="12.75">
      <c r="A161" s="7"/>
      <c r="B161" s="7"/>
      <c r="C161" s="7"/>
      <c r="D161" s="64" t="s">
        <v>126</v>
      </c>
      <c r="E161" s="7"/>
      <c r="F161" s="7"/>
      <c r="G161" s="7"/>
      <c r="H161" s="7"/>
      <c r="I161" s="7"/>
      <c r="J161" s="7"/>
      <c r="K161" s="7"/>
      <c r="L161" s="7"/>
      <c r="M161" s="358">
        <f>+M159-M160</f>
        <v>280</v>
      </c>
      <c r="N161" s="358"/>
      <c r="O161" s="358"/>
      <c r="P161" s="7" t="s">
        <v>71</v>
      </c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48"/>
      <c r="AE161" s="7"/>
      <c r="AF161" s="7"/>
    </row>
    <row r="162" spans="1:32" ht="12.75">
      <c r="A162" s="7"/>
      <c r="B162" s="7"/>
      <c r="C162" s="7"/>
      <c r="D162" s="64" t="s">
        <v>127</v>
      </c>
      <c r="E162" s="7"/>
      <c r="F162" s="7"/>
      <c r="G162" s="7"/>
      <c r="H162" s="7"/>
      <c r="I162" s="7"/>
      <c r="J162" s="7" t="s">
        <v>128</v>
      </c>
      <c r="K162" s="7"/>
      <c r="L162" s="7"/>
      <c r="M162" s="358">
        <v>25</v>
      </c>
      <c r="N162" s="358"/>
      <c r="O162" s="358"/>
      <c r="P162" s="7" t="s">
        <v>44</v>
      </c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48"/>
      <c r="AE162" s="7"/>
      <c r="AF162" s="7"/>
    </row>
    <row r="163" spans="1:32" ht="12.75">
      <c r="A163" s="7"/>
      <c r="B163" s="7"/>
      <c r="C163" s="7"/>
      <c r="D163" s="64" t="s">
        <v>129</v>
      </c>
      <c r="E163" s="7"/>
      <c r="F163" s="7"/>
      <c r="G163" s="7"/>
      <c r="H163" s="7"/>
      <c r="I163" s="7"/>
      <c r="J163" s="7" t="s">
        <v>130</v>
      </c>
      <c r="K163" s="7"/>
      <c r="L163" s="7"/>
      <c r="M163" s="358">
        <v>350</v>
      </c>
      <c r="N163" s="358"/>
      <c r="O163" s="358"/>
      <c r="P163" s="7" t="s">
        <v>83</v>
      </c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48"/>
      <c r="AE163" s="7"/>
      <c r="AF163" s="7"/>
    </row>
    <row r="164" spans="1:3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48"/>
      <c r="AE164" s="7"/>
      <c r="AF164" s="7"/>
    </row>
    <row r="165" spans="1:32" ht="12.75">
      <c r="A165" s="7"/>
      <c r="B165" s="7"/>
      <c r="C165" s="7" t="s">
        <v>131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48"/>
      <c r="AE165" s="7"/>
      <c r="AF165" s="7"/>
    </row>
    <row r="166" spans="1:32" ht="12.75">
      <c r="A166" s="7"/>
      <c r="B166" s="7"/>
      <c r="C166" s="7" t="s">
        <v>132</v>
      </c>
      <c r="D166" s="7"/>
      <c r="E166" s="7"/>
      <c r="F166" s="7" t="str">
        <f>M163&amp;" / (0.85 . "&amp;M162&amp;")"</f>
        <v>350 / (0.85 . 25)</v>
      </c>
      <c r="G166" s="7"/>
      <c r="H166" s="7"/>
      <c r="I166" s="7"/>
      <c r="J166" s="7"/>
      <c r="K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48"/>
      <c r="AE166" s="7"/>
      <c r="AF166" s="7"/>
    </row>
    <row r="167" spans="1:32" ht="12.75">
      <c r="A167" s="7"/>
      <c r="B167" s="7"/>
      <c r="C167" s="7" t="s">
        <v>133</v>
      </c>
      <c r="D167" s="7"/>
      <c r="E167" s="369">
        <f>+M163/(0.85*M162)</f>
        <v>16.470588235294116</v>
      </c>
      <c r="F167" s="369"/>
      <c r="G167" s="369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48"/>
      <c r="AE167" s="7"/>
      <c r="AF167" s="7"/>
    </row>
    <row r="168" spans="1:3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48"/>
      <c r="AE168" s="7"/>
      <c r="AF168" s="7"/>
    </row>
    <row r="169" spans="1:32" ht="16.5">
      <c r="A169" s="7"/>
      <c r="B169" s="7"/>
      <c r="C169" s="7" t="s">
        <v>149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48"/>
      <c r="AE169" s="7"/>
      <c r="AF169" s="7"/>
    </row>
    <row r="170" spans="1:32" ht="12.75">
      <c r="A170" s="7"/>
      <c r="B170" s="7"/>
      <c r="C170" s="7"/>
      <c r="D170" s="65" t="s">
        <v>46</v>
      </c>
      <c r="F170" s="68" t="str">
        <f>FIXED(U155*10000,0)&amp;"/(0.85."&amp;M159&amp;"."&amp;M161&amp;","&amp;M161&amp;")"</f>
        <v>29.107.631/(0.85.300.280,280)</v>
      </c>
      <c r="G170" s="68"/>
      <c r="H170" s="68"/>
      <c r="I170" s="68"/>
      <c r="J170" s="68"/>
      <c r="K170" s="68"/>
      <c r="L170" s="68"/>
      <c r="M170" s="68"/>
      <c r="N170" s="53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C170" s="7"/>
      <c r="AD170" s="48"/>
      <c r="AE170" s="7"/>
      <c r="AF170" s="7"/>
    </row>
    <row r="171" spans="1:32" ht="12.75">
      <c r="A171" s="7"/>
      <c r="B171" s="7"/>
      <c r="C171" s="7" t="s">
        <v>133</v>
      </c>
      <c r="D171" s="7"/>
      <c r="E171" s="7"/>
      <c r="F171" s="364">
        <f>+U155*10000/(0.85*M159*M161*M161)</f>
        <v>1.4559639426495599</v>
      </c>
      <c r="G171" s="364"/>
      <c r="H171" s="364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48"/>
      <c r="AE171" s="7"/>
      <c r="AF171" s="7"/>
    </row>
    <row r="172" spans="1:3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48"/>
      <c r="AE172" s="7"/>
      <c r="AF172" s="7"/>
    </row>
    <row r="173" spans="1:32" ht="12.75">
      <c r="A173" s="7"/>
      <c r="B173" s="7"/>
      <c r="C173" s="69" t="s">
        <v>134</v>
      </c>
      <c r="D173" s="70" t="s">
        <v>46</v>
      </c>
      <c r="E173" s="7" t="s">
        <v>135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48"/>
      <c r="AE173" s="7"/>
      <c r="AF173" s="7"/>
    </row>
    <row r="174" spans="1:3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48"/>
      <c r="AE174" s="7"/>
      <c r="AF174" s="7"/>
    </row>
    <row r="175" spans="1:32" ht="12.75">
      <c r="A175" s="7"/>
      <c r="B175" s="7"/>
      <c r="C175" s="7"/>
      <c r="D175" s="70" t="s">
        <v>46</v>
      </c>
      <c r="E175" s="7"/>
      <c r="F175" s="7" t="str">
        <f>"(1/"&amp;FIXED(E167,2)&amp;")*(1-        ( 1 - ((2 . "&amp;FIXED(F171,3)&amp;"."&amp;FIXED(E167,2)&amp;")/"&amp;M163&amp;")))"</f>
        <v>(1/16,47)*(1-        ( 1 - ((2 . 1,456.16,47)/350)))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48"/>
      <c r="AE175" s="7"/>
      <c r="AF175" s="7"/>
    </row>
    <row r="176" spans="1:3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48"/>
      <c r="AE176" s="7"/>
      <c r="AF176" s="7"/>
    </row>
    <row r="177" spans="1:32" ht="12.75">
      <c r="A177" s="7"/>
      <c r="B177" s="7"/>
      <c r="C177" s="7"/>
      <c r="D177" s="70" t="s">
        <v>46</v>
      </c>
      <c r="E177" s="370">
        <f>+(1/E167)*(1-SQRT(1-((2*F171*E167)/M163)))</f>
        <v>0.004313096521627097</v>
      </c>
      <c r="F177" s="370"/>
      <c r="G177" s="370"/>
      <c r="H177" s="370"/>
      <c r="I177" s="7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48"/>
      <c r="AE177" s="7"/>
      <c r="AF177" s="7"/>
    </row>
    <row r="178" spans="1:32" ht="12.75">
      <c r="A178" s="7"/>
      <c r="B178" s="7"/>
      <c r="C178" s="7"/>
      <c r="D178" s="72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48"/>
      <c r="AE178" s="7"/>
      <c r="AF178" s="7"/>
    </row>
    <row r="179" spans="1:32" ht="18.75">
      <c r="A179" s="7"/>
      <c r="B179" s="7"/>
      <c r="C179" s="7" t="s">
        <v>150</v>
      </c>
      <c r="D179" s="72"/>
      <c r="E179" s="7"/>
      <c r="F179" s="7"/>
      <c r="G179" s="7"/>
      <c r="H179" s="7"/>
      <c r="I179" s="362">
        <f>+E177</f>
        <v>0.004313096521627097</v>
      </c>
      <c r="J179" s="362"/>
      <c r="K179" s="362"/>
      <c r="L179" s="362"/>
      <c r="M179" s="358">
        <f>+M159</f>
        <v>300</v>
      </c>
      <c r="N179" s="358"/>
      <c r="O179" s="358">
        <f>+M161</f>
        <v>280</v>
      </c>
      <c r="P179" s="358"/>
      <c r="Q179" s="7" t="s">
        <v>46</v>
      </c>
      <c r="R179" s="368">
        <f>+E177*M159*M161</f>
        <v>362.30010781667613</v>
      </c>
      <c r="S179" s="368"/>
      <c r="T179" s="368"/>
      <c r="U179" s="368"/>
      <c r="V179" s="7" t="s">
        <v>76</v>
      </c>
      <c r="W179" s="7"/>
      <c r="X179" s="7"/>
      <c r="Y179" s="7"/>
      <c r="Z179" s="7"/>
      <c r="AA179" s="7"/>
      <c r="AB179" s="7"/>
      <c r="AC179" s="7"/>
      <c r="AD179" s="48"/>
      <c r="AE179" s="7"/>
      <c r="AF179" s="7"/>
    </row>
    <row r="180" spans="1:3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48"/>
      <c r="AE180" s="7"/>
      <c r="AF180" s="7"/>
    </row>
    <row r="181" spans="1:32" ht="19.5">
      <c r="A181" s="7"/>
      <c r="B181" s="7" t="s">
        <v>151</v>
      </c>
      <c r="C181" s="7"/>
      <c r="D181" s="7"/>
      <c r="E181" s="7"/>
      <c r="F181" s="7"/>
      <c r="G181" s="7"/>
      <c r="H181" s="67">
        <v>4</v>
      </c>
      <c r="I181" s="67" t="s">
        <v>92</v>
      </c>
      <c r="J181" s="67">
        <v>19</v>
      </c>
      <c r="K181" s="7"/>
      <c r="L181" s="64" t="s">
        <v>136</v>
      </c>
      <c r="M181" s="7"/>
      <c r="N181" s="7"/>
      <c r="O181" s="358">
        <f>+H181*0.25*3.14*J181*J181</f>
        <v>1133.54</v>
      </c>
      <c r="P181" s="358"/>
      <c r="Q181" s="7" t="s">
        <v>137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48"/>
      <c r="AE181" s="7"/>
      <c r="AF181" s="7"/>
    </row>
    <row r="182" spans="1:3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48"/>
      <c r="AE182" s="7"/>
      <c r="AF182" s="7"/>
    </row>
    <row r="183" spans="1:32" ht="12.75">
      <c r="A183" s="7"/>
      <c r="B183" s="67" t="s">
        <v>138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48"/>
      <c r="AE183" s="7"/>
      <c r="AF183" s="7"/>
    </row>
    <row r="184" spans="1:32" ht="12.75">
      <c r="A184" s="7"/>
      <c r="B184" s="8" t="s">
        <v>139</v>
      </c>
      <c r="F184" s="353" t="s">
        <v>140</v>
      </c>
      <c r="G184" s="353"/>
      <c r="H184" t="s">
        <v>91</v>
      </c>
      <c r="I184" s="356">
        <f>H189</f>
        <v>300</v>
      </c>
      <c r="J184" s="356"/>
      <c r="K184" t="s">
        <v>71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48"/>
      <c r="AE184" s="7"/>
      <c r="AF184" s="7"/>
    </row>
    <row r="185" spans="1:32" ht="12.75">
      <c r="A185" s="7"/>
      <c r="B185" s="8"/>
      <c r="F185" s="4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48"/>
      <c r="AE185" s="7"/>
      <c r="AF185" s="7"/>
    </row>
    <row r="186" spans="1:32" ht="12.75">
      <c r="A186" s="7"/>
      <c r="B186" s="8" t="s">
        <v>141</v>
      </c>
      <c r="C186" t="s">
        <v>46</v>
      </c>
      <c r="D186" t="str">
        <f>"48x"&amp;MID(F184,2,2)</f>
        <v>48x10</v>
      </c>
      <c r="G186" s="18" t="s">
        <v>46</v>
      </c>
      <c r="H186" s="354">
        <f>48*MID(F184,2,2)</f>
        <v>480</v>
      </c>
      <c r="I186" s="354"/>
      <c r="J186" t="s">
        <v>71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48"/>
      <c r="AE186" s="7"/>
      <c r="AF186" s="7"/>
    </row>
    <row r="187" spans="1:32" ht="12.75">
      <c r="A187" s="7"/>
      <c r="B187" s="8" t="s">
        <v>142</v>
      </c>
      <c r="C187" t="s">
        <v>46</v>
      </c>
      <c r="D187" t="str">
        <f>"16x"&amp;J181</f>
        <v>16x19</v>
      </c>
      <c r="G187" s="18" t="s">
        <v>46</v>
      </c>
      <c r="H187" s="355">
        <f>16*J181</f>
        <v>304</v>
      </c>
      <c r="I187" s="356"/>
      <c r="J187" t="s">
        <v>71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48"/>
      <c r="AE187" s="7"/>
      <c r="AF187" s="7"/>
    </row>
    <row r="188" spans="1:32" ht="12.75">
      <c r="A188" s="7"/>
      <c r="B188" s="8" t="s">
        <v>143</v>
      </c>
      <c r="G188" s="18" t="s">
        <v>46</v>
      </c>
      <c r="H188" s="355">
        <f>MIN(K12:N13)*10</f>
        <v>300</v>
      </c>
      <c r="I188" s="356"/>
      <c r="J188" t="s">
        <v>71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48"/>
      <c r="AE188" s="7"/>
      <c r="AF188" s="7"/>
    </row>
    <row r="189" spans="1:32" ht="12.75">
      <c r="A189" s="7"/>
      <c r="B189" s="8" t="s">
        <v>144</v>
      </c>
      <c r="H189" s="356">
        <f>MIN(H186:H188)</f>
        <v>300</v>
      </c>
      <c r="I189" s="356"/>
      <c r="J189" t="s">
        <v>71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48"/>
      <c r="AE189" s="7"/>
      <c r="AF189" s="7"/>
    </row>
    <row r="190" spans="1:3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48"/>
      <c r="AE190" s="7"/>
      <c r="AF190" s="7"/>
    </row>
    <row r="191" spans="1:3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48"/>
      <c r="AE191" s="7"/>
      <c r="AF191" s="7"/>
    </row>
    <row r="192" spans="1:32" ht="13.5" thickBo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48"/>
      <c r="AE192" s="7"/>
      <c r="AF192" s="7"/>
    </row>
    <row r="193" spans="1:32" ht="12.75">
      <c r="A193" s="7"/>
      <c r="B193" s="7"/>
      <c r="C193" s="7"/>
      <c r="D193" s="7"/>
      <c r="E193" s="7"/>
      <c r="F193" s="7"/>
      <c r="G193" s="7"/>
      <c r="H193" s="7"/>
      <c r="I193" s="73"/>
      <c r="J193" s="74"/>
      <c r="K193" s="74"/>
      <c r="L193" s="75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48"/>
      <c r="AE193" s="7"/>
      <c r="AF193" s="7"/>
    </row>
    <row r="194" spans="1:32" ht="12.75">
      <c r="A194" s="7"/>
      <c r="B194" s="7"/>
      <c r="C194" s="7"/>
      <c r="D194" s="7"/>
      <c r="E194" s="7"/>
      <c r="F194" s="76" t="str">
        <f>H181&amp;I181&amp;J181</f>
        <v>4D19</v>
      </c>
      <c r="G194" s="7"/>
      <c r="H194" s="7"/>
      <c r="I194" s="77"/>
      <c r="J194" s="7"/>
      <c r="K194" s="7"/>
      <c r="L194" s="46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48"/>
      <c r="AE194" s="7"/>
      <c r="AF194" s="7"/>
    </row>
    <row r="195" spans="1:32" ht="12.75">
      <c r="A195" s="7"/>
      <c r="B195" s="7"/>
      <c r="C195" s="7"/>
      <c r="D195" s="7"/>
      <c r="E195" s="7"/>
      <c r="F195" s="78" t="str">
        <f>F184&amp;" - "&amp;H189</f>
        <v>d10 - 300</v>
      </c>
      <c r="G195" s="7"/>
      <c r="H195" s="7"/>
      <c r="I195" s="77"/>
      <c r="J195" s="7"/>
      <c r="K195" s="7"/>
      <c r="L195" s="46"/>
      <c r="M195" s="7"/>
      <c r="N195" s="357">
        <f>K13*10</f>
        <v>300</v>
      </c>
      <c r="O195" s="35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48"/>
      <c r="AE195" s="7"/>
      <c r="AF195" s="7"/>
    </row>
    <row r="196" spans="1:32" ht="12.75">
      <c r="A196" s="7"/>
      <c r="B196" s="7"/>
      <c r="C196" s="7"/>
      <c r="D196" s="7"/>
      <c r="E196" s="7"/>
      <c r="F196" s="7"/>
      <c r="G196" s="7"/>
      <c r="H196" s="7"/>
      <c r="I196" s="77"/>
      <c r="J196" s="7"/>
      <c r="K196" s="7"/>
      <c r="L196" s="46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48"/>
      <c r="AE196" s="7"/>
      <c r="AF196" s="7"/>
    </row>
    <row r="197" spans="1:32" ht="13.5" thickBot="1">
      <c r="A197" s="7"/>
      <c r="B197" s="7"/>
      <c r="C197" s="7"/>
      <c r="D197" s="7"/>
      <c r="E197" s="7"/>
      <c r="F197" s="7"/>
      <c r="G197" s="7"/>
      <c r="H197" s="7"/>
      <c r="I197" s="79"/>
      <c r="J197" s="80"/>
      <c r="K197" s="80"/>
      <c r="L197" s="4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48"/>
      <c r="AE197" s="7"/>
      <c r="AF197" s="7"/>
    </row>
    <row r="198" spans="1:32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48"/>
      <c r="AE198" s="7"/>
      <c r="AF198" s="7"/>
    </row>
    <row r="199" spans="1:32" ht="12.75">
      <c r="A199" s="7"/>
      <c r="B199" s="7"/>
      <c r="C199" s="7"/>
      <c r="D199" s="7"/>
      <c r="E199" s="7"/>
      <c r="F199" s="7"/>
      <c r="G199" s="7"/>
      <c r="H199" s="3"/>
      <c r="I199" s="3"/>
      <c r="J199" s="359">
        <f>K12*10</f>
        <v>300</v>
      </c>
      <c r="K199" s="360"/>
      <c r="L199" s="3"/>
      <c r="M199" s="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48"/>
      <c r="AE199" s="7"/>
      <c r="AF199" s="7"/>
    </row>
    <row r="200" spans="1:32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48"/>
      <c r="AE200" s="7"/>
      <c r="AF200" s="7"/>
    </row>
    <row r="201" spans="1:32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48"/>
      <c r="AE201" s="7"/>
      <c r="AF201" s="7"/>
    </row>
  </sheetData>
  <sheetProtection/>
  <mergeCells count="62">
    <mergeCell ref="F21:G22"/>
    <mergeCell ref="J21:J22"/>
    <mergeCell ref="L21:O21"/>
    <mergeCell ref="T21:T22"/>
    <mergeCell ref="P24:P25"/>
    <mergeCell ref="P21:P22"/>
    <mergeCell ref="Q21:S22"/>
    <mergeCell ref="K8:N8"/>
    <mergeCell ref="K9:N9"/>
    <mergeCell ref="N10:O10"/>
    <mergeCell ref="G29:G30"/>
    <mergeCell ref="J29:J30"/>
    <mergeCell ref="K29:L30"/>
    <mergeCell ref="W21:W22"/>
    <mergeCell ref="L22:O22"/>
    <mergeCell ref="F24:G25"/>
    <mergeCell ref="J24:J25"/>
    <mergeCell ref="K24:K25"/>
    <mergeCell ref="M24:M25"/>
    <mergeCell ref="N24:O25"/>
    <mergeCell ref="M29:M30"/>
    <mergeCell ref="X32:Y32"/>
    <mergeCell ref="J142:K142"/>
    <mergeCell ref="M142:N142"/>
    <mergeCell ref="P142:Q142"/>
    <mergeCell ref="R142:S142"/>
    <mergeCell ref="U142:V142"/>
    <mergeCell ref="P154:R154"/>
    <mergeCell ref="T154:X154"/>
    <mergeCell ref="U155:X155"/>
    <mergeCell ref="P148:Q148"/>
    <mergeCell ref="S148:U148"/>
    <mergeCell ref="I148:J148"/>
    <mergeCell ref="L148:N148"/>
    <mergeCell ref="R179:U179"/>
    <mergeCell ref="M163:O163"/>
    <mergeCell ref="E167:G167"/>
    <mergeCell ref="F171:H171"/>
    <mergeCell ref="E177:H177"/>
    <mergeCell ref="O179:P179"/>
    <mergeCell ref="I143:K143"/>
    <mergeCell ref="M145:N145"/>
    <mergeCell ref="M159:O159"/>
    <mergeCell ref="M160:O160"/>
    <mergeCell ref="M161:O161"/>
    <mergeCell ref="M162:O162"/>
    <mergeCell ref="N195:O195"/>
    <mergeCell ref="O181:P181"/>
    <mergeCell ref="J199:K199"/>
    <mergeCell ref="K12:N12"/>
    <mergeCell ref="K13:N13"/>
    <mergeCell ref="I179:L179"/>
    <mergeCell ref="M179:N179"/>
    <mergeCell ref="K154:N154"/>
    <mergeCell ref="I151:K151"/>
    <mergeCell ref="I152:K152"/>
    <mergeCell ref="F184:G184"/>
    <mergeCell ref="H186:I186"/>
    <mergeCell ref="H187:I187"/>
    <mergeCell ref="H188:I188"/>
    <mergeCell ref="H189:I189"/>
    <mergeCell ref="I184:J184"/>
  </mergeCells>
  <printOptions/>
  <pageMargins left="0.75" right="0.75" top="1" bottom="1" header="0.5" footer="0.5"/>
  <pageSetup firstPageNumber="14" useFirstPageNumber="1" horizontalDpi="360" verticalDpi="360" orientation="portrait" paperSize="9" scale="92" r:id="rId2"/>
  <headerFooter alignWithMargins="0">
    <oddFooter>&amp;L&amp;"Comic Sans MS,Regular"&amp;8PT. ALCO ART STUDIO&amp;C&amp;"Comic Sans MS,Regular"&amp;9HAL. A-&amp;P&amp;R&amp;"Arial Narrow,Italic"&amp;8GEDUNG DAKWAH MUHAMMADIYAH
KABUPATEN GRESIK
ALCO - TS/21JAN2008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B4:K286"/>
  <sheetViews>
    <sheetView showGridLines="0" zoomScaleSheetLayoutView="85" zoomScalePageLayoutView="0" workbookViewId="0" topLeftCell="A1">
      <selection activeCell="M12" sqref="M12"/>
    </sheetView>
  </sheetViews>
  <sheetFormatPr defaultColWidth="9.140625" defaultRowHeight="12.75"/>
  <cols>
    <col min="1" max="1" width="3.28125" style="0" customWidth="1"/>
    <col min="2" max="2" width="19.28125" style="0" bestFit="1" customWidth="1"/>
    <col min="3" max="4" width="19.28125" style="0" hidden="1" customWidth="1"/>
    <col min="5" max="10" width="10.7109375" style="0" customWidth="1"/>
  </cols>
  <sheetData>
    <row r="4" spans="2:4" ht="15.75">
      <c r="B4" s="49" t="str">
        <f>"TABEL TULANGAN KOLOM"</f>
        <v>TABEL TULANGAN KOLOM</v>
      </c>
      <c r="C4" s="49"/>
      <c r="D4" s="49"/>
    </row>
    <row r="6" spans="5:10" ht="13.5" thickBot="1">
      <c r="E6" s="82"/>
      <c r="F6" s="83"/>
      <c r="G6" s="83"/>
      <c r="H6" s="83"/>
      <c r="I6" s="83"/>
      <c r="J6" s="83"/>
    </row>
    <row r="7" spans="2:10" ht="13.5" thickBot="1">
      <c r="B7" s="84" t="s">
        <v>86</v>
      </c>
      <c r="C7" s="85"/>
      <c r="D7" s="85"/>
      <c r="E7" s="86" t="str">
        <f>"K1 ("&amp;E13&amp;"/"&amp;E14&amp;")"</f>
        <v>K1 (30/30)</v>
      </c>
      <c r="F7" s="86" t="str">
        <f>"K2 (D"&amp;F13&amp;")"</f>
        <v>K2 (D50)</v>
      </c>
      <c r="G7" s="86" t="str">
        <f>"K3 ("&amp;G13&amp;"/"&amp;G14&amp;")"</f>
        <v>K3 (30/30)</v>
      </c>
      <c r="H7" s="86" t="str">
        <f>"K4 (D"&amp;H13&amp;")"</f>
        <v>K4 (D50)</v>
      </c>
      <c r="I7" s="86" t="str">
        <f>"K5 (D"&amp;I13&amp;")"</f>
        <v>K5 (D50)</v>
      </c>
      <c r="J7" s="87" t="str">
        <f>"K6 (D"&amp;J13&amp;")"</f>
        <v>K6 (D50)</v>
      </c>
    </row>
    <row r="8" spans="2:10" ht="12.75">
      <c r="B8" s="42" t="s">
        <v>152</v>
      </c>
      <c r="C8" s="45"/>
      <c r="D8" s="45"/>
      <c r="E8" s="39" t="s">
        <v>153</v>
      </c>
      <c r="F8" s="39" t="s">
        <v>153</v>
      </c>
      <c r="G8" s="39" t="s">
        <v>154</v>
      </c>
      <c r="H8" s="39" t="s">
        <v>154</v>
      </c>
      <c r="I8" s="39" t="s">
        <v>155</v>
      </c>
      <c r="J8" s="46" t="s">
        <v>156</v>
      </c>
    </row>
    <row r="9" spans="2:10" ht="12.75">
      <c r="B9" s="42" t="s">
        <v>157</v>
      </c>
      <c r="C9" s="45"/>
      <c r="D9" s="45"/>
      <c r="E9" s="39" t="s">
        <v>158</v>
      </c>
      <c r="F9" s="39" t="s">
        <v>158</v>
      </c>
      <c r="G9" s="39" t="s">
        <v>159</v>
      </c>
      <c r="H9" s="39" t="s">
        <v>160</v>
      </c>
      <c r="I9" s="39" t="s">
        <v>161</v>
      </c>
      <c r="J9" s="46" t="s">
        <v>161</v>
      </c>
    </row>
    <row r="10" spans="2:10" ht="12.75">
      <c r="B10" s="88" t="s">
        <v>162</v>
      </c>
      <c r="C10" s="89"/>
      <c r="D10" s="89"/>
      <c r="E10" s="90">
        <v>14387</v>
      </c>
      <c r="F10" s="90">
        <v>35478</v>
      </c>
      <c r="G10" s="90">
        <v>27071.62</v>
      </c>
      <c r="H10" s="90">
        <v>76865</v>
      </c>
      <c r="I10" s="90">
        <v>126814</v>
      </c>
      <c r="J10" s="91">
        <v>176096</v>
      </c>
    </row>
    <row r="11" spans="2:10" ht="12.75">
      <c r="B11" s="92" t="s">
        <v>163</v>
      </c>
      <c r="C11" s="93"/>
      <c r="D11" s="93"/>
      <c r="E11" s="94">
        <v>29</v>
      </c>
      <c r="F11" s="94">
        <v>182</v>
      </c>
      <c r="G11" s="94">
        <v>9</v>
      </c>
      <c r="H11" s="94">
        <v>129</v>
      </c>
      <c r="I11" s="94">
        <v>1302</v>
      </c>
      <c r="J11" s="95">
        <v>199</v>
      </c>
    </row>
    <row r="12" spans="2:10" ht="12.75">
      <c r="B12" s="92" t="s">
        <v>164</v>
      </c>
      <c r="C12" s="93"/>
      <c r="D12" s="93"/>
      <c r="E12" s="96">
        <v>550</v>
      </c>
      <c r="F12" s="96">
        <v>550</v>
      </c>
      <c r="G12" s="96">
        <v>400</v>
      </c>
      <c r="H12" s="96">
        <v>400</v>
      </c>
      <c r="I12" s="96">
        <v>400</v>
      </c>
      <c r="J12" s="97">
        <v>450</v>
      </c>
    </row>
    <row r="13" spans="2:10" ht="12.75">
      <c r="B13" s="92" t="s">
        <v>165</v>
      </c>
      <c r="C13" s="93"/>
      <c r="D13" s="93"/>
      <c r="E13" s="94">
        <v>30</v>
      </c>
      <c r="F13" s="94">
        <v>50</v>
      </c>
      <c r="G13" s="94">
        <v>30</v>
      </c>
      <c r="H13" s="94">
        <v>50</v>
      </c>
      <c r="I13" s="94">
        <v>50</v>
      </c>
      <c r="J13" s="95">
        <v>50</v>
      </c>
    </row>
    <row r="14" spans="2:10" ht="12.75">
      <c r="B14" s="92" t="s">
        <v>166</v>
      </c>
      <c r="C14" s="93"/>
      <c r="D14" s="93"/>
      <c r="E14" s="94">
        <v>30</v>
      </c>
      <c r="F14" s="94">
        <v>50</v>
      </c>
      <c r="G14" s="94">
        <v>30</v>
      </c>
      <c r="H14" s="94">
        <v>50</v>
      </c>
      <c r="I14" s="94">
        <v>50</v>
      </c>
      <c r="J14" s="95">
        <v>50</v>
      </c>
    </row>
    <row r="15" spans="2:10" ht="12.75">
      <c r="B15" s="98" t="s">
        <v>167</v>
      </c>
      <c r="C15" s="99"/>
      <c r="D15" s="99"/>
      <c r="E15" s="100"/>
      <c r="F15" s="100"/>
      <c r="G15" s="100"/>
      <c r="H15" s="100"/>
      <c r="I15" s="100"/>
      <c r="J15" s="101"/>
    </row>
    <row r="16" spans="2:10" ht="12.75">
      <c r="B16" s="92" t="s">
        <v>168</v>
      </c>
      <c r="C16" s="93"/>
      <c r="D16" s="93"/>
      <c r="E16" s="102">
        <f aca="true" t="shared" si="0" ref="E16:J16">+E11/E10*100</f>
        <v>0.20157086258427748</v>
      </c>
      <c r="F16" s="102">
        <f t="shared" si="0"/>
        <v>0.5129939680929027</v>
      </c>
      <c r="G16" s="102">
        <f t="shared" si="0"/>
        <v>0.03324514750133165</v>
      </c>
      <c r="H16" s="102">
        <f t="shared" si="0"/>
        <v>0.1678267091654199</v>
      </c>
      <c r="I16" s="102">
        <f t="shared" si="0"/>
        <v>1.0267005220243823</v>
      </c>
      <c r="J16" s="103">
        <f t="shared" si="0"/>
        <v>0.11300654188624386</v>
      </c>
    </row>
    <row r="17" spans="2:10" ht="12.75">
      <c r="B17" s="92" t="s">
        <v>169</v>
      </c>
      <c r="C17" s="93"/>
      <c r="D17" s="93"/>
      <c r="E17" s="102">
        <f aca="true" t="shared" si="1" ref="E17:J17">IF(E14/30&lt;0.02,0.02,E14/30)</f>
        <v>1</v>
      </c>
      <c r="F17" s="102">
        <f t="shared" si="1"/>
        <v>1.6666666666666667</v>
      </c>
      <c r="G17" s="102">
        <f t="shared" si="1"/>
        <v>1</v>
      </c>
      <c r="H17" s="102">
        <f t="shared" si="1"/>
        <v>1.6666666666666667</v>
      </c>
      <c r="I17" s="102">
        <f t="shared" si="1"/>
        <v>1.6666666666666667</v>
      </c>
      <c r="J17" s="105">
        <f t="shared" si="1"/>
        <v>1.6666666666666667</v>
      </c>
    </row>
    <row r="18" spans="2:10" ht="12.75" hidden="1">
      <c r="B18" s="92" t="s">
        <v>170</v>
      </c>
      <c r="C18" s="93"/>
      <c r="D18" s="93"/>
      <c r="E18" s="106">
        <f aca="true" t="shared" si="2" ref="E18:J18">E16+E17</f>
        <v>1.2015708625842776</v>
      </c>
      <c r="F18" s="106">
        <f t="shared" si="2"/>
        <v>2.1796606347595695</v>
      </c>
      <c r="G18" s="106">
        <f t="shared" si="2"/>
        <v>1.0332451475013316</v>
      </c>
      <c r="H18" s="106">
        <f t="shared" si="2"/>
        <v>1.8344933758320867</v>
      </c>
      <c r="I18" s="106">
        <f t="shared" si="2"/>
        <v>2.693367188691049</v>
      </c>
      <c r="J18" s="107">
        <f t="shared" si="2"/>
        <v>1.7796732085529106</v>
      </c>
    </row>
    <row r="19" spans="2:11" ht="12.75" hidden="1">
      <c r="B19" s="108">
        <v>0</v>
      </c>
      <c r="C19" s="43">
        <v>4</v>
      </c>
      <c r="D19" s="43">
        <v>4.4</v>
      </c>
      <c r="E19" s="7"/>
      <c r="F19" s="55"/>
      <c r="G19" s="7"/>
      <c r="H19" s="55"/>
      <c r="I19" s="55"/>
      <c r="J19" s="109"/>
      <c r="K19" s="7"/>
    </row>
    <row r="20" spans="2:11" ht="12.75" hidden="1">
      <c r="B20" s="108">
        <v>0.01</v>
      </c>
      <c r="C20" s="43">
        <v>4.46</v>
      </c>
      <c r="D20" s="43">
        <v>4.91</v>
      </c>
      <c r="E20" s="7"/>
      <c r="F20" s="55"/>
      <c r="G20" s="7"/>
      <c r="H20" s="55"/>
      <c r="I20" s="55"/>
      <c r="J20" s="109"/>
      <c r="K20" s="7"/>
    </row>
    <row r="21" spans="2:11" ht="12.75" hidden="1">
      <c r="B21" s="108">
        <v>0.02</v>
      </c>
      <c r="C21" s="43">
        <v>4.92</v>
      </c>
      <c r="D21" s="43">
        <v>5.42</v>
      </c>
      <c r="E21" s="7"/>
      <c r="F21" s="55"/>
      <c r="G21" s="7"/>
      <c r="H21" s="55"/>
      <c r="I21" s="55"/>
      <c r="J21" s="109"/>
      <c r="K21" s="7"/>
    </row>
    <row r="22" spans="2:11" ht="12.75" hidden="1">
      <c r="B22" s="108">
        <v>0.03</v>
      </c>
      <c r="C22" s="43">
        <v>5.38</v>
      </c>
      <c r="D22" s="43">
        <v>5.93</v>
      </c>
      <c r="E22" s="7"/>
      <c r="F22" s="55"/>
      <c r="G22" s="7"/>
      <c r="H22" s="55"/>
      <c r="I22" s="55"/>
      <c r="J22" s="109"/>
      <c r="K22" s="7"/>
    </row>
    <row r="23" spans="2:11" ht="12.75" hidden="1">
      <c r="B23" s="108">
        <v>0.04</v>
      </c>
      <c r="C23" s="43">
        <v>5.84</v>
      </c>
      <c r="D23" s="43">
        <v>6.44</v>
      </c>
      <c r="E23" s="7"/>
      <c r="F23" s="55"/>
      <c r="G23" s="7"/>
      <c r="H23" s="55"/>
      <c r="I23" s="55"/>
      <c r="J23" s="109"/>
      <c r="K23" s="7"/>
    </row>
    <row r="24" spans="2:11" ht="12.75" hidden="1">
      <c r="B24" s="108">
        <v>0.05</v>
      </c>
      <c r="C24" s="43">
        <v>5.86</v>
      </c>
      <c r="D24" s="43">
        <v>6.45</v>
      </c>
      <c r="E24" s="7"/>
      <c r="F24" s="55"/>
      <c r="G24" s="7"/>
      <c r="H24" s="55"/>
      <c r="I24" s="55"/>
      <c r="J24" s="109"/>
      <c r="K24" s="7"/>
    </row>
    <row r="25" spans="2:11" ht="12.75" hidden="1">
      <c r="B25" s="108">
        <v>0.06</v>
      </c>
      <c r="C25" s="43">
        <v>5.952</v>
      </c>
      <c r="D25" s="43">
        <v>6.5520000000000005</v>
      </c>
      <c r="E25" s="7"/>
      <c r="F25" s="55"/>
      <c r="G25" s="7"/>
      <c r="H25" s="55"/>
      <c r="I25" s="55"/>
      <c r="J25" s="109"/>
      <c r="K25" s="7"/>
    </row>
    <row r="26" spans="2:11" ht="12.75" hidden="1">
      <c r="B26" s="108">
        <v>0.07</v>
      </c>
      <c r="C26" s="43">
        <v>6.044</v>
      </c>
      <c r="D26" s="43">
        <v>6.654000000000001</v>
      </c>
      <c r="E26" s="7"/>
      <c r="F26" s="55"/>
      <c r="G26" s="7"/>
      <c r="H26" s="55"/>
      <c r="I26" s="55"/>
      <c r="J26" s="109"/>
      <c r="K26" s="7"/>
    </row>
    <row r="27" spans="2:11" ht="12.75" hidden="1">
      <c r="B27" s="108">
        <v>0.08</v>
      </c>
      <c r="C27" s="43">
        <v>6.135999999999999</v>
      </c>
      <c r="D27" s="43">
        <v>6.756000000000001</v>
      </c>
      <c r="E27" s="7"/>
      <c r="F27" s="55"/>
      <c r="G27" s="7"/>
      <c r="H27" s="55"/>
      <c r="I27" s="55"/>
      <c r="J27" s="109"/>
      <c r="K27" s="7"/>
    </row>
    <row r="28" spans="2:11" ht="12.75" hidden="1">
      <c r="B28" s="108">
        <v>0.09</v>
      </c>
      <c r="C28" s="43">
        <v>6.227999999999999</v>
      </c>
      <c r="D28" s="43">
        <v>6.858000000000001</v>
      </c>
      <c r="E28" s="7"/>
      <c r="F28" s="55"/>
      <c r="G28" s="7"/>
      <c r="H28" s="55"/>
      <c r="I28" s="55"/>
      <c r="J28" s="109"/>
      <c r="K28" s="7"/>
    </row>
    <row r="29" spans="2:11" ht="12.75" hidden="1">
      <c r="B29" s="108">
        <v>0.1</v>
      </c>
      <c r="C29" s="43">
        <v>6.32</v>
      </c>
      <c r="D29" s="43">
        <v>6.96</v>
      </c>
      <c r="E29" s="7"/>
      <c r="F29" s="55"/>
      <c r="G29" s="7"/>
      <c r="H29" s="55"/>
      <c r="I29" s="55"/>
      <c r="J29" s="109"/>
      <c r="K29" s="7"/>
    </row>
    <row r="30" spans="2:11" ht="12.75" hidden="1">
      <c r="B30" s="108">
        <v>0.11</v>
      </c>
      <c r="C30" s="43">
        <v>6.364</v>
      </c>
      <c r="D30" s="43">
        <v>7.006</v>
      </c>
      <c r="E30" s="7"/>
      <c r="F30" s="55"/>
      <c r="G30" s="7"/>
      <c r="H30" s="55"/>
      <c r="I30" s="55"/>
      <c r="J30" s="109"/>
      <c r="K30" s="7"/>
    </row>
    <row r="31" spans="2:11" ht="12.75" hidden="1">
      <c r="B31" s="108">
        <v>0.12</v>
      </c>
      <c r="C31" s="43">
        <v>6.4079999999999995</v>
      </c>
      <c r="D31" s="43">
        <v>7.0520000000000005</v>
      </c>
      <c r="E31" s="7"/>
      <c r="F31" s="55"/>
      <c r="G31" s="7"/>
      <c r="H31" s="55"/>
      <c r="I31" s="55"/>
      <c r="J31" s="109"/>
      <c r="K31" s="7"/>
    </row>
    <row r="32" spans="2:11" ht="12.75" hidden="1">
      <c r="B32" s="108">
        <v>0.13</v>
      </c>
      <c r="C32" s="43">
        <v>6.451999999999999</v>
      </c>
      <c r="D32" s="43">
        <v>7.098000000000001</v>
      </c>
      <c r="E32" s="7"/>
      <c r="F32" s="55"/>
      <c r="G32" s="7"/>
      <c r="H32" s="55"/>
      <c r="I32" s="55"/>
      <c r="J32" s="109"/>
      <c r="K32" s="7"/>
    </row>
    <row r="33" spans="2:11" ht="12.75" hidden="1">
      <c r="B33" s="108">
        <v>0.14</v>
      </c>
      <c r="C33" s="43">
        <v>6.495999999999999</v>
      </c>
      <c r="D33" s="43">
        <v>7.144000000000001</v>
      </c>
      <c r="E33" s="7"/>
      <c r="F33" s="55"/>
      <c r="G33" s="7"/>
      <c r="H33" s="55"/>
      <c r="I33" s="55"/>
      <c r="J33" s="109"/>
      <c r="K33" s="7"/>
    </row>
    <row r="34" spans="2:11" ht="12.75" hidden="1">
      <c r="B34" s="108">
        <v>0.15</v>
      </c>
      <c r="C34" s="43">
        <v>6.54</v>
      </c>
      <c r="D34" s="43">
        <v>7.19</v>
      </c>
      <c r="E34" s="7"/>
      <c r="F34" s="55"/>
      <c r="G34" s="7"/>
      <c r="H34" s="55"/>
      <c r="I34" s="55"/>
      <c r="J34" s="109"/>
      <c r="K34" s="7"/>
    </row>
    <row r="35" spans="2:11" ht="12.75" hidden="1">
      <c r="B35" s="108">
        <v>0.16</v>
      </c>
      <c r="C35" s="43">
        <v>6.564</v>
      </c>
      <c r="D35" s="43">
        <v>7.214</v>
      </c>
      <c r="E35" s="7"/>
      <c r="F35" s="55"/>
      <c r="G35" s="7"/>
      <c r="H35" s="55"/>
      <c r="I35" s="55"/>
      <c r="J35" s="109"/>
      <c r="K35" s="7"/>
    </row>
    <row r="36" spans="2:11" ht="12.75" hidden="1">
      <c r="B36" s="108">
        <v>0.17</v>
      </c>
      <c r="C36" s="43">
        <v>6.588</v>
      </c>
      <c r="D36" s="43">
        <v>7.238</v>
      </c>
      <c r="E36" s="7"/>
      <c r="F36" s="55"/>
      <c r="G36" s="7"/>
      <c r="H36" s="55"/>
      <c r="I36" s="55"/>
      <c r="J36" s="109"/>
      <c r="K36" s="7"/>
    </row>
    <row r="37" spans="2:11" ht="12.75" hidden="1">
      <c r="B37" s="108">
        <v>0.18</v>
      </c>
      <c r="C37" s="43">
        <v>6.612</v>
      </c>
      <c r="D37" s="43">
        <v>7.2620000000000005</v>
      </c>
      <c r="E37" s="7"/>
      <c r="F37" s="55"/>
      <c r="G37" s="7"/>
      <c r="H37" s="55"/>
      <c r="I37" s="55"/>
      <c r="J37" s="109"/>
      <c r="K37" s="7"/>
    </row>
    <row r="38" spans="2:11" ht="12.75" hidden="1">
      <c r="B38" s="108">
        <v>0.19</v>
      </c>
      <c r="C38" s="43">
        <v>6.636</v>
      </c>
      <c r="D38" s="43">
        <v>7.2860000000000005</v>
      </c>
      <c r="E38" s="7"/>
      <c r="F38" s="55"/>
      <c r="G38" s="7"/>
      <c r="H38" s="55"/>
      <c r="I38" s="55"/>
      <c r="J38" s="109"/>
      <c r="K38" s="7"/>
    </row>
    <row r="39" spans="2:11" ht="12.75" hidden="1">
      <c r="B39" s="108">
        <v>0.2</v>
      </c>
      <c r="C39" s="43">
        <v>6.66</v>
      </c>
      <c r="D39" s="43">
        <v>7.32</v>
      </c>
      <c r="E39" s="7"/>
      <c r="F39" s="55"/>
      <c r="G39" s="7"/>
      <c r="H39" s="55"/>
      <c r="I39" s="55"/>
      <c r="J39" s="109"/>
      <c r="K39" s="7"/>
    </row>
    <row r="40" spans="2:11" ht="12.75" hidden="1">
      <c r="B40" s="108">
        <v>0.21</v>
      </c>
      <c r="C40" s="43">
        <v>6.676</v>
      </c>
      <c r="D40" s="43">
        <v>7.336</v>
      </c>
      <c r="E40" s="7"/>
      <c r="F40" s="55"/>
      <c r="G40" s="7"/>
      <c r="H40" s="55"/>
      <c r="I40" s="55"/>
      <c r="J40" s="109"/>
      <c r="K40" s="7"/>
    </row>
    <row r="41" spans="2:11" ht="12.75" hidden="1">
      <c r="B41" s="108">
        <v>0.22</v>
      </c>
      <c r="C41" s="43">
        <v>6.692</v>
      </c>
      <c r="D41" s="43">
        <v>7.352</v>
      </c>
      <c r="E41" s="7"/>
      <c r="F41" s="55"/>
      <c r="G41" s="7"/>
      <c r="H41" s="55"/>
      <c r="I41" s="55"/>
      <c r="J41" s="109"/>
      <c r="K41" s="7"/>
    </row>
    <row r="42" spans="2:11" ht="12.75" hidden="1">
      <c r="B42" s="108">
        <v>0.23</v>
      </c>
      <c r="C42" s="43">
        <v>6.708</v>
      </c>
      <c r="D42" s="43">
        <v>7.368</v>
      </c>
      <c r="E42" s="7"/>
      <c r="F42" s="55"/>
      <c r="G42" s="7"/>
      <c r="H42" s="55"/>
      <c r="I42" s="55"/>
      <c r="J42" s="109"/>
      <c r="K42" s="7"/>
    </row>
    <row r="43" spans="2:11" ht="12.75" hidden="1">
      <c r="B43" s="108">
        <v>0.24</v>
      </c>
      <c r="C43" s="43">
        <v>6.724</v>
      </c>
      <c r="D43" s="43">
        <v>7.384</v>
      </c>
      <c r="E43" s="7"/>
      <c r="F43" s="55"/>
      <c r="G43" s="7"/>
      <c r="H43" s="55"/>
      <c r="I43" s="55"/>
      <c r="J43" s="109"/>
      <c r="K43" s="7"/>
    </row>
    <row r="44" spans="2:11" ht="12.75" hidden="1">
      <c r="B44" s="108">
        <v>0.25</v>
      </c>
      <c r="C44" s="43">
        <v>6.74</v>
      </c>
      <c r="D44" s="43">
        <v>7.41</v>
      </c>
      <c r="E44" s="7"/>
      <c r="F44" s="55"/>
      <c r="G44" s="7"/>
      <c r="H44" s="55"/>
      <c r="I44" s="55"/>
      <c r="J44" s="109"/>
      <c r="K44" s="7"/>
    </row>
    <row r="45" spans="2:11" ht="12.75" hidden="1">
      <c r="B45" s="108">
        <v>0.26</v>
      </c>
      <c r="C45" s="43">
        <v>6.75</v>
      </c>
      <c r="D45" s="43">
        <v>7.422</v>
      </c>
      <c r="E45" s="7"/>
      <c r="F45" s="55"/>
      <c r="G45" s="7"/>
      <c r="H45" s="55"/>
      <c r="I45" s="55"/>
      <c r="J45" s="109"/>
      <c r="K45" s="7"/>
    </row>
    <row r="46" spans="2:11" ht="12.75" hidden="1">
      <c r="B46" s="108">
        <v>0.27</v>
      </c>
      <c r="C46" s="43">
        <v>6.76</v>
      </c>
      <c r="D46" s="43">
        <v>7.433999999999999</v>
      </c>
      <c r="E46" s="7"/>
      <c r="F46" s="55"/>
      <c r="G46" s="7"/>
      <c r="H46" s="55"/>
      <c r="I46" s="55"/>
      <c r="J46" s="109"/>
      <c r="K46" s="7"/>
    </row>
    <row r="47" spans="2:11" ht="12.75" hidden="1">
      <c r="B47" s="108">
        <v>0.28</v>
      </c>
      <c r="C47" s="43">
        <v>6.77</v>
      </c>
      <c r="D47" s="43">
        <v>7.445999999999999</v>
      </c>
      <c r="E47" s="7"/>
      <c r="F47" s="55"/>
      <c r="G47" s="7"/>
      <c r="H47" s="55"/>
      <c r="I47" s="55"/>
      <c r="J47" s="109"/>
      <c r="K47" s="7"/>
    </row>
    <row r="48" spans="2:11" ht="12.75" hidden="1">
      <c r="B48" s="108">
        <v>0.29</v>
      </c>
      <c r="C48" s="43">
        <v>6.78</v>
      </c>
      <c r="D48" s="43">
        <v>7.457999999999998</v>
      </c>
      <c r="E48" s="7"/>
      <c r="F48" s="55"/>
      <c r="G48" s="7"/>
      <c r="H48" s="55"/>
      <c r="I48" s="55"/>
      <c r="J48" s="109"/>
      <c r="K48" s="7"/>
    </row>
    <row r="49" spans="2:11" ht="12.75" hidden="1">
      <c r="B49" s="108">
        <v>0.3</v>
      </c>
      <c r="C49" s="43">
        <v>6.79</v>
      </c>
      <c r="D49" s="43">
        <v>7.47</v>
      </c>
      <c r="E49" s="7"/>
      <c r="F49" s="55"/>
      <c r="G49" s="7"/>
      <c r="H49" s="55"/>
      <c r="I49" s="55"/>
      <c r="J49" s="109"/>
      <c r="K49" s="7"/>
    </row>
    <row r="50" spans="2:11" ht="12.75" hidden="1">
      <c r="B50" s="108">
        <v>0.31</v>
      </c>
      <c r="C50" s="43">
        <v>6.798</v>
      </c>
      <c r="D50" s="43">
        <v>7.48</v>
      </c>
      <c r="E50" s="7"/>
      <c r="F50" s="55"/>
      <c r="G50" s="7"/>
      <c r="H50" s="55"/>
      <c r="I50" s="55"/>
      <c r="J50" s="109"/>
      <c r="K50" s="7"/>
    </row>
    <row r="51" spans="2:11" ht="12.75" hidden="1">
      <c r="B51" s="108">
        <v>0.32</v>
      </c>
      <c r="C51" s="43">
        <v>6.806</v>
      </c>
      <c r="D51" s="43">
        <v>7.49</v>
      </c>
      <c r="E51" s="7"/>
      <c r="F51" s="55"/>
      <c r="G51" s="7"/>
      <c r="H51" s="55"/>
      <c r="I51" s="55"/>
      <c r="J51" s="109"/>
      <c r="K51" s="7"/>
    </row>
    <row r="52" spans="2:11" ht="12.75" hidden="1">
      <c r="B52" s="108">
        <v>0.33</v>
      </c>
      <c r="C52" s="43">
        <v>6.814</v>
      </c>
      <c r="D52" s="43">
        <v>7.5</v>
      </c>
      <c r="E52" s="7"/>
      <c r="F52" s="55"/>
      <c r="G52" s="7"/>
      <c r="H52" s="55"/>
      <c r="I52" s="55"/>
      <c r="J52" s="109"/>
      <c r="K52" s="7"/>
    </row>
    <row r="53" spans="2:11" ht="12.75" hidden="1">
      <c r="B53" s="108">
        <v>0.34</v>
      </c>
      <c r="C53" s="43">
        <v>6.822</v>
      </c>
      <c r="D53" s="43">
        <v>7.51</v>
      </c>
      <c r="E53" s="7"/>
      <c r="F53" s="55"/>
      <c r="G53" s="7"/>
      <c r="H53" s="55"/>
      <c r="I53" s="55"/>
      <c r="J53" s="109"/>
      <c r="K53" s="7"/>
    </row>
    <row r="54" spans="2:11" ht="12.75" hidden="1">
      <c r="B54" s="108">
        <v>0.35</v>
      </c>
      <c r="C54" s="43">
        <v>6.83</v>
      </c>
      <c r="D54" s="43">
        <v>7.52</v>
      </c>
      <c r="E54" s="7"/>
      <c r="F54" s="55"/>
      <c r="G54" s="7"/>
      <c r="H54" s="55"/>
      <c r="I54" s="55"/>
      <c r="J54" s="109"/>
      <c r="K54" s="7"/>
    </row>
    <row r="55" spans="2:11" ht="12.75" hidden="1">
      <c r="B55" s="108">
        <v>0.36</v>
      </c>
      <c r="C55" s="43">
        <v>6.836</v>
      </c>
      <c r="D55" s="43">
        <v>7.526</v>
      </c>
      <c r="E55" s="7"/>
      <c r="F55" s="55"/>
      <c r="G55" s="7"/>
      <c r="H55" s="55"/>
      <c r="I55" s="55"/>
      <c r="J55" s="109"/>
      <c r="K55" s="7"/>
    </row>
    <row r="56" spans="2:11" ht="12.75" hidden="1">
      <c r="B56" s="108">
        <v>0.37</v>
      </c>
      <c r="C56" s="43">
        <v>6.8420000000000005</v>
      </c>
      <c r="D56" s="43">
        <v>7.532</v>
      </c>
      <c r="E56" s="7"/>
      <c r="F56" s="55"/>
      <c r="G56" s="7"/>
      <c r="H56" s="55"/>
      <c r="I56" s="55"/>
      <c r="J56" s="109"/>
      <c r="K56" s="7"/>
    </row>
    <row r="57" spans="2:11" ht="12.75" hidden="1">
      <c r="B57" s="108">
        <v>0.38</v>
      </c>
      <c r="C57" s="43">
        <v>6.848000000000001</v>
      </c>
      <c r="D57" s="43">
        <v>7.538</v>
      </c>
      <c r="E57" s="7"/>
      <c r="F57" s="55"/>
      <c r="G57" s="7"/>
      <c r="H57" s="55"/>
      <c r="I57" s="55"/>
      <c r="J57" s="109"/>
      <c r="K57" s="7"/>
    </row>
    <row r="58" spans="2:11" ht="12.75" hidden="1">
      <c r="B58" s="108">
        <v>0.39</v>
      </c>
      <c r="C58" s="43">
        <v>6.854000000000001</v>
      </c>
      <c r="D58" s="43">
        <v>7.5440000000000005</v>
      </c>
      <c r="E58" s="7"/>
      <c r="F58" s="55"/>
      <c r="G58" s="7"/>
      <c r="H58" s="55"/>
      <c r="I58" s="55"/>
      <c r="J58" s="109"/>
      <c r="K58" s="7"/>
    </row>
    <row r="59" spans="2:11" ht="12.75" hidden="1">
      <c r="B59" s="108">
        <v>0.4</v>
      </c>
      <c r="C59" s="43">
        <v>6.86</v>
      </c>
      <c r="D59" s="43">
        <v>7.55</v>
      </c>
      <c r="E59" s="7"/>
      <c r="F59" s="55"/>
      <c r="G59" s="7"/>
      <c r="H59" s="55"/>
      <c r="I59" s="55"/>
      <c r="J59" s="109"/>
      <c r="K59" s="7"/>
    </row>
    <row r="60" spans="2:11" ht="12.75" hidden="1">
      <c r="B60" s="108">
        <v>0.41</v>
      </c>
      <c r="C60" s="43">
        <v>6.8660000000000005</v>
      </c>
      <c r="D60" s="43">
        <v>7.556</v>
      </c>
      <c r="E60" s="7"/>
      <c r="F60" s="55"/>
      <c r="G60" s="7"/>
      <c r="H60" s="55"/>
      <c r="I60" s="55"/>
      <c r="J60" s="109"/>
      <c r="K60" s="7"/>
    </row>
    <row r="61" spans="2:11" ht="12.75" hidden="1">
      <c r="B61" s="108">
        <v>0.42</v>
      </c>
      <c r="C61" s="43">
        <v>6.872000000000001</v>
      </c>
      <c r="D61" s="43">
        <v>7.562</v>
      </c>
      <c r="E61" s="7"/>
      <c r="F61" s="55"/>
      <c r="G61" s="7"/>
      <c r="H61" s="55"/>
      <c r="I61" s="55"/>
      <c r="J61" s="109"/>
      <c r="K61" s="7"/>
    </row>
    <row r="62" spans="2:11" ht="12.75" hidden="1">
      <c r="B62" s="108">
        <v>0.43</v>
      </c>
      <c r="C62" s="43">
        <v>6.878000000000001</v>
      </c>
      <c r="D62" s="43">
        <v>7.5680000000000005</v>
      </c>
      <c r="E62" s="7"/>
      <c r="F62" s="55"/>
      <c r="G62" s="7"/>
      <c r="H62" s="55"/>
      <c r="I62" s="55"/>
      <c r="J62" s="109"/>
      <c r="K62" s="7"/>
    </row>
    <row r="63" spans="2:11" ht="12.75" hidden="1">
      <c r="B63" s="108">
        <v>0.44</v>
      </c>
      <c r="C63" s="43">
        <v>6.884000000000001</v>
      </c>
      <c r="D63" s="43">
        <v>7.574000000000001</v>
      </c>
      <c r="E63" s="7"/>
      <c r="F63" s="55"/>
      <c r="G63" s="7"/>
      <c r="H63" s="55"/>
      <c r="I63" s="55"/>
      <c r="J63" s="109"/>
      <c r="K63" s="7"/>
    </row>
    <row r="64" spans="2:11" ht="12.75" hidden="1">
      <c r="B64" s="108">
        <v>0.45</v>
      </c>
      <c r="C64" s="43">
        <v>6.89</v>
      </c>
      <c r="D64" s="43">
        <v>7.58</v>
      </c>
      <c r="E64" s="7"/>
      <c r="F64" s="55"/>
      <c r="G64" s="7"/>
      <c r="H64" s="55"/>
      <c r="I64" s="55"/>
      <c r="J64" s="109"/>
      <c r="K64" s="7"/>
    </row>
    <row r="65" spans="2:11" ht="12.75" hidden="1">
      <c r="B65" s="108">
        <v>0.46</v>
      </c>
      <c r="C65" s="43">
        <v>6.896</v>
      </c>
      <c r="D65" s="43">
        <v>7.584</v>
      </c>
      <c r="E65" s="7"/>
      <c r="F65" s="55"/>
      <c r="G65" s="7"/>
      <c r="H65" s="55"/>
      <c r="I65" s="55"/>
      <c r="J65" s="109"/>
      <c r="K65" s="7"/>
    </row>
    <row r="66" spans="2:11" ht="12.75" hidden="1">
      <c r="B66" s="108">
        <v>0.47</v>
      </c>
      <c r="C66" s="43">
        <v>6.902</v>
      </c>
      <c r="D66" s="43">
        <v>7.587999999999999</v>
      </c>
      <c r="E66" s="7"/>
      <c r="F66" s="55"/>
      <c r="G66" s="7"/>
      <c r="H66" s="55"/>
      <c r="I66" s="55"/>
      <c r="J66" s="109"/>
      <c r="K66" s="7"/>
    </row>
    <row r="67" spans="2:11" ht="12.75" hidden="1">
      <c r="B67" s="108">
        <v>0.48</v>
      </c>
      <c r="C67" s="43">
        <v>6.908</v>
      </c>
      <c r="D67" s="43">
        <v>7.591999999999999</v>
      </c>
      <c r="E67" s="7"/>
      <c r="F67" s="55"/>
      <c r="G67" s="7"/>
      <c r="H67" s="55"/>
      <c r="I67" s="55"/>
      <c r="J67" s="109"/>
      <c r="K67" s="7"/>
    </row>
    <row r="68" spans="2:11" ht="12.75" hidden="1">
      <c r="B68" s="108">
        <v>0.49</v>
      </c>
      <c r="C68" s="43">
        <v>6.914000000000001</v>
      </c>
      <c r="D68" s="43">
        <v>7.595999999999998</v>
      </c>
      <c r="E68" s="7"/>
      <c r="F68" s="55"/>
      <c r="G68" s="7"/>
      <c r="H68" s="55"/>
      <c r="I68" s="55"/>
      <c r="J68" s="109"/>
      <c r="K68" s="7"/>
    </row>
    <row r="69" spans="2:11" ht="12.75" hidden="1">
      <c r="B69" s="108">
        <v>0.5</v>
      </c>
      <c r="C69" s="43">
        <v>6.92</v>
      </c>
      <c r="D69" s="43">
        <v>7.6</v>
      </c>
      <c r="E69" s="7"/>
      <c r="F69" s="55"/>
      <c r="G69" s="7"/>
      <c r="H69" s="55"/>
      <c r="I69" s="55"/>
      <c r="J69" s="109"/>
      <c r="K69" s="7"/>
    </row>
    <row r="70" spans="2:11" ht="12.75" hidden="1">
      <c r="B70" s="108">
        <v>0.51</v>
      </c>
      <c r="C70" s="43">
        <v>6.922</v>
      </c>
      <c r="D70" s="43">
        <v>7.603</v>
      </c>
      <c r="E70" s="7"/>
      <c r="F70" s="55"/>
      <c r="G70" s="7"/>
      <c r="H70" s="55"/>
      <c r="I70" s="55"/>
      <c r="J70" s="109"/>
      <c r="K70" s="7"/>
    </row>
    <row r="71" spans="2:11" ht="12.75" hidden="1">
      <c r="B71" s="108">
        <v>0.52</v>
      </c>
      <c r="C71" s="43">
        <v>6.9239999999999995</v>
      </c>
      <c r="D71" s="43">
        <v>7.606</v>
      </c>
      <c r="E71" s="7"/>
      <c r="F71" s="55"/>
      <c r="G71" s="7"/>
      <c r="H71" s="55"/>
      <c r="I71" s="55"/>
      <c r="J71" s="109"/>
      <c r="K71" s="7"/>
    </row>
    <row r="72" spans="2:11" ht="12.75" hidden="1">
      <c r="B72" s="108">
        <v>0.53</v>
      </c>
      <c r="C72" s="43">
        <v>6.925999999999999</v>
      </c>
      <c r="D72" s="43">
        <v>7.609</v>
      </c>
      <c r="E72" s="7"/>
      <c r="F72" s="55"/>
      <c r="G72" s="7"/>
      <c r="H72" s="55"/>
      <c r="I72" s="55"/>
      <c r="J72" s="109"/>
      <c r="K72" s="7"/>
    </row>
    <row r="73" spans="2:11" ht="12.75" hidden="1">
      <c r="B73" s="108">
        <v>0.54</v>
      </c>
      <c r="C73" s="43">
        <v>6.927999999999999</v>
      </c>
      <c r="D73" s="43">
        <v>7.612</v>
      </c>
      <c r="E73" s="7"/>
      <c r="F73" s="55"/>
      <c r="G73" s="7"/>
      <c r="H73" s="55"/>
      <c r="I73" s="55"/>
      <c r="J73" s="109"/>
      <c r="K73" s="7"/>
    </row>
    <row r="74" spans="2:11" ht="12.75" hidden="1">
      <c r="B74" s="108">
        <v>0.55</v>
      </c>
      <c r="C74" s="43">
        <v>6.93</v>
      </c>
      <c r="D74" s="43">
        <v>7.615</v>
      </c>
      <c r="E74" s="7"/>
      <c r="F74" s="55"/>
      <c r="G74" s="7"/>
      <c r="H74" s="55"/>
      <c r="I74" s="55"/>
      <c r="J74" s="109"/>
      <c r="K74" s="7"/>
    </row>
    <row r="75" spans="2:11" ht="12.75" hidden="1">
      <c r="B75" s="108">
        <v>0.56</v>
      </c>
      <c r="C75" s="43">
        <v>6.931999999999999</v>
      </c>
      <c r="D75" s="43">
        <v>7.618</v>
      </c>
      <c r="E75" s="7"/>
      <c r="F75" s="55"/>
      <c r="G75" s="7"/>
      <c r="H75" s="55"/>
      <c r="I75" s="55"/>
      <c r="J75" s="109"/>
      <c r="K75" s="7"/>
    </row>
    <row r="76" spans="2:11" ht="12.75" hidden="1">
      <c r="B76" s="108">
        <v>0.57</v>
      </c>
      <c r="C76" s="43">
        <v>6.933999999999998</v>
      </c>
      <c r="D76" s="43">
        <v>7.621</v>
      </c>
      <c r="E76" s="7"/>
      <c r="F76" s="55"/>
      <c r="G76" s="7"/>
      <c r="H76" s="55"/>
      <c r="I76" s="55"/>
      <c r="J76" s="109"/>
      <c r="K76" s="7"/>
    </row>
    <row r="77" spans="2:11" ht="12.75" hidden="1">
      <c r="B77" s="108">
        <v>0.58</v>
      </c>
      <c r="C77" s="43">
        <v>6.935999999999998</v>
      </c>
      <c r="D77" s="43">
        <v>7.6240000000000006</v>
      </c>
      <c r="E77" s="7"/>
      <c r="F77" s="55"/>
      <c r="G77" s="7"/>
      <c r="H77" s="55"/>
      <c r="I77" s="55"/>
      <c r="J77" s="109"/>
      <c r="K77" s="7"/>
    </row>
    <row r="78" spans="2:11" ht="12.75" hidden="1">
      <c r="B78" s="108">
        <v>0.59</v>
      </c>
      <c r="C78" s="43">
        <v>6.937999999999998</v>
      </c>
      <c r="D78" s="43">
        <v>7.627000000000001</v>
      </c>
      <c r="E78" s="7"/>
      <c r="F78" s="55"/>
      <c r="G78" s="7"/>
      <c r="H78" s="55"/>
      <c r="I78" s="55"/>
      <c r="J78" s="109"/>
      <c r="K78" s="7"/>
    </row>
    <row r="79" spans="2:11" ht="12.75" hidden="1">
      <c r="B79" s="108">
        <v>0.6</v>
      </c>
      <c r="C79" s="43">
        <v>6.94</v>
      </c>
      <c r="D79" s="43">
        <v>7.63</v>
      </c>
      <c r="E79" s="7"/>
      <c r="F79" s="55"/>
      <c r="G79" s="7"/>
      <c r="H79" s="55"/>
      <c r="I79" s="55"/>
      <c r="J79" s="109"/>
      <c r="K79" s="7"/>
    </row>
    <row r="80" spans="2:11" ht="12.75" hidden="1">
      <c r="B80" s="108">
        <v>0.61</v>
      </c>
      <c r="C80" s="43">
        <v>6.942</v>
      </c>
      <c r="D80" s="43">
        <v>7.632</v>
      </c>
      <c r="E80" s="7"/>
      <c r="F80" s="55"/>
      <c r="G80" s="7"/>
      <c r="H80" s="55"/>
      <c r="I80" s="55"/>
      <c r="J80" s="109"/>
      <c r="K80" s="7"/>
    </row>
    <row r="81" spans="2:11" ht="12.75" hidden="1">
      <c r="B81" s="108">
        <v>0.62</v>
      </c>
      <c r="C81" s="43">
        <v>6.944</v>
      </c>
      <c r="D81" s="43">
        <v>7.6339999999999995</v>
      </c>
      <c r="E81" s="7"/>
      <c r="F81" s="55"/>
      <c r="G81" s="7"/>
      <c r="H81" s="55"/>
      <c r="I81" s="55"/>
      <c r="J81" s="109"/>
      <c r="K81" s="7"/>
    </row>
    <row r="82" spans="2:11" ht="12.75" hidden="1">
      <c r="B82" s="108">
        <v>0.63</v>
      </c>
      <c r="C82" s="43">
        <v>6.946</v>
      </c>
      <c r="D82" s="43">
        <v>7.635999999999999</v>
      </c>
      <c r="E82" s="7"/>
      <c r="F82" s="55"/>
      <c r="G82" s="7"/>
      <c r="H82" s="55"/>
      <c r="I82" s="55"/>
      <c r="J82" s="109"/>
      <c r="K82" s="7"/>
    </row>
    <row r="83" spans="2:11" ht="12.75" hidden="1">
      <c r="B83" s="108">
        <v>0.64</v>
      </c>
      <c r="C83" s="43">
        <v>6.9479999999999995</v>
      </c>
      <c r="D83" s="43">
        <v>7.637999999999999</v>
      </c>
      <c r="E83" s="7"/>
      <c r="F83" s="55"/>
      <c r="G83" s="7"/>
      <c r="H83" s="55"/>
      <c r="I83" s="55"/>
      <c r="J83" s="109"/>
      <c r="K83" s="7"/>
    </row>
    <row r="84" spans="2:11" ht="12.75" hidden="1">
      <c r="B84" s="108">
        <v>0.65</v>
      </c>
      <c r="C84" s="43">
        <v>6.95</v>
      </c>
      <c r="D84" s="43">
        <v>7.64</v>
      </c>
      <c r="E84" s="7"/>
      <c r="F84" s="55"/>
      <c r="G84" s="7"/>
      <c r="H84" s="55"/>
      <c r="I84" s="55"/>
      <c r="J84" s="109"/>
      <c r="K84" s="7"/>
    </row>
    <row r="85" spans="2:11" ht="12.75" hidden="1">
      <c r="B85" s="108">
        <v>0.66</v>
      </c>
      <c r="C85" s="43">
        <v>6.951999999999999</v>
      </c>
      <c r="D85" s="43">
        <v>7.641999999999999</v>
      </c>
      <c r="E85" s="7"/>
      <c r="F85" s="55"/>
      <c r="G85" s="7"/>
      <c r="H85" s="55"/>
      <c r="I85" s="55"/>
      <c r="J85" s="109"/>
      <c r="K85" s="7"/>
    </row>
    <row r="86" spans="2:11" ht="12.75" hidden="1">
      <c r="B86" s="108">
        <v>0.67</v>
      </c>
      <c r="C86" s="43">
        <v>6.953999999999999</v>
      </c>
      <c r="D86" s="43">
        <v>7.643999999999998</v>
      </c>
      <c r="E86" s="7"/>
      <c r="F86" s="55"/>
      <c r="G86" s="7"/>
      <c r="H86" s="55"/>
      <c r="I86" s="55"/>
      <c r="J86" s="109"/>
      <c r="K86" s="7"/>
    </row>
    <row r="87" spans="2:11" ht="12.75" hidden="1">
      <c r="B87" s="108">
        <v>0.68</v>
      </c>
      <c r="C87" s="43">
        <v>6.955999999999999</v>
      </c>
      <c r="D87" s="43">
        <v>7.645999999999998</v>
      </c>
      <c r="E87" s="7"/>
      <c r="F87" s="55"/>
      <c r="G87" s="7"/>
      <c r="H87" s="55"/>
      <c r="I87" s="55"/>
      <c r="J87" s="109"/>
      <c r="K87" s="7"/>
    </row>
    <row r="88" spans="2:11" ht="12.75" hidden="1">
      <c r="B88" s="108">
        <v>0.69</v>
      </c>
      <c r="C88" s="43">
        <v>6.957999999999998</v>
      </c>
      <c r="D88" s="43">
        <v>7.647999999999998</v>
      </c>
      <c r="E88" s="7"/>
      <c r="F88" s="55"/>
      <c r="G88" s="7"/>
      <c r="H88" s="55"/>
      <c r="I88" s="55"/>
      <c r="J88" s="109"/>
      <c r="K88" s="7"/>
    </row>
    <row r="89" spans="2:11" ht="12.75" hidden="1">
      <c r="B89" s="108">
        <v>0.7</v>
      </c>
      <c r="C89" s="43">
        <v>6.96</v>
      </c>
      <c r="D89" s="43">
        <v>7.65</v>
      </c>
      <c r="E89" s="7"/>
      <c r="F89" s="55"/>
      <c r="G89" s="7"/>
      <c r="H89" s="55"/>
      <c r="I89" s="55"/>
      <c r="J89" s="109"/>
      <c r="K89" s="7"/>
    </row>
    <row r="90" spans="2:11" ht="12.75" hidden="1">
      <c r="B90" s="108">
        <v>0.71</v>
      </c>
      <c r="C90" s="43">
        <v>6.962</v>
      </c>
      <c r="D90" s="43">
        <v>7.652</v>
      </c>
      <c r="E90" s="7"/>
      <c r="F90" s="55"/>
      <c r="G90" s="7"/>
      <c r="H90" s="55"/>
      <c r="I90" s="55"/>
      <c r="J90" s="109"/>
      <c r="K90" s="7"/>
    </row>
    <row r="91" spans="2:11" ht="12.75" hidden="1">
      <c r="B91" s="108">
        <v>0.72</v>
      </c>
      <c r="C91" s="43">
        <v>6.9639999999999995</v>
      </c>
      <c r="D91" s="43">
        <v>7.654</v>
      </c>
      <c r="E91" s="7"/>
      <c r="F91" s="55"/>
      <c r="G91" s="7"/>
      <c r="H91" s="55"/>
      <c r="I91" s="55"/>
      <c r="J91" s="109"/>
      <c r="K91" s="7"/>
    </row>
    <row r="92" spans="2:11" ht="12.75" hidden="1">
      <c r="B92" s="108">
        <v>0.73</v>
      </c>
      <c r="C92" s="43">
        <v>6.965999999999999</v>
      </c>
      <c r="D92" s="43">
        <v>7.656</v>
      </c>
      <c r="E92" s="7"/>
      <c r="F92" s="55"/>
      <c r="G92" s="7"/>
      <c r="H92" s="55"/>
      <c r="I92" s="55"/>
      <c r="J92" s="109"/>
      <c r="K92" s="7"/>
    </row>
    <row r="93" spans="2:11" ht="12.75" hidden="1">
      <c r="B93" s="108">
        <v>0.74</v>
      </c>
      <c r="C93" s="43">
        <v>6.967999999999999</v>
      </c>
      <c r="D93" s="43">
        <v>7.6579999999999995</v>
      </c>
      <c r="E93" s="7"/>
      <c r="F93" s="55"/>
      <c r="G93" s="7"/>
      <c r="H93" s="55"/>
      <c r="I93" s="55"/>
      <c r="J93" s="109"/>
      <c r="K93" s="7"/>
    </row>
    <row r="94" spans="2:11" ht="12.75" hidden="1">
      <c r="B94" s="108">
        <v>0.75</v>
      </c>
      <c r="C94" s="43">
        <v>6.97</v>
      </c>
      <c r="D94" s="43">
        <v>7.66</v>
      </c>
      <c r="E94" s="7"/>
      <c r="F94" s="55"/>
      <c r="G94" s="7"/>
      <c r="H94" s="55"/>
      <c r="I94" s="55"/>
      <c r="J94" s="109"/>
      <c r="K94" s="7"/>
    </row>
    <row r="95" spans="2:11" ht="12.75" hidden="1">
      <c r="B95" s="108">
        <v>0.76</v>
      </c>
      <c r="C95" s="43">
        <v>6.971999999999999</v>
      </c>
      <c r="D95" s="43">
        <v>7.661999999999999</v>
      </c>
      <c r="E95" s="7"/>
      <c r="F95" s="55"/>
      <c r="G95" s="7"/>
      <c r="H95" s="55"/>
      <c r="I95" s="55"/>
      <c r="J95" s="109"/>
      <c r="K95" s="7"/>
    </row>
    <row r="96" spans="2:11" ht="12.75" hidden="1">
      <c r="B96" s="108">
        <v>0.77</v>
      </c>
      <c r="C96" s="43">
        <v>6.973999999999998</v>
      </c>
      <c r="D96" s="43">
        <v>7.663999999999999</v>
      </c>
      <c r="E96" s="7"/>
      <c r="F96" s="55"/>
      <c r="G96" s="7"/>
      <c r="H96" s="55"/>
      <c r="I96" s="55"/>
      <c r="J96" s="109"/>
      <c r="K96" s="7"/>
    </row>
    <row r="97" spans="2:11" ht="12.75" hidden="1">
      <c r="B97" s="108">
        <v>0.78</v>
      </c>
      <c r="C97" s="43">
        <v>6.975999999999998</v>
      </c>
      <c r="D97" s="43">
        <v>7.665999999999999</v>
      </c>
      <c r="E97" s="7"/>
      <c r="F97" s="55"/>
      <c r="G97" s="7"/>
      <c r="H97" s="55"/>
      <c r="I97" s="55"/>
      <c r="J97" s="109"/>
      <c r="K97" s="7"/>
    </row>
    <row r="98" spans="2:11" ht="12.75" hidden="1">
      <c r="B98" s="108">
        <v>0.79</v>
      </c>
      <c r="C98" s="43">
        <v>6.977999999999998</v>
      </c>
      <c r="D98" s="43">
        <v>7.667999999999998</v>
      </c>
      <c r="E98" s="7"/>
      <c r="F98" s="55"/>
      <c r="G98" s="7"/>
      <c r="H98" s="55"/>
      <c r="I98" s="55"/>
      <c r="J98" s="109"/>
      <c r="K98" s="7"/>
    </row>
    <row r="99" spans="2:11" ht="12.75" hidden="1">
      <c r="B99" s="108">
        <v>0.8</v>
      </c>
      <c r="C99" s="43">
        <v>6.98</v>
      </c>
      <c r="D99" s="43">
        <v>7.67</v>
      </c>
      <c r="E99" s="7"/>
      <c r="F99" s="55"/>
      <c r="G99" s="7"/>
      <c r="H99" s="55"/>
      <c r="I99" s="55"/>
      <c r="J99" s="109"/>
      <c r="K99" s="7"/>
    </row>
    <row r="100" spans="2:11" ht="12.75" hidden="1">
      <c r="B100" s="108">
        <v>0.81</v>
      </c>
      <c r="C100" s="43">
        <v>6.981000000000001</v>
      </c>
      <c r="D100" s="43">
        <v>7.672</v>
      </c>
      <c r="E100" s="7"/>
      <c r="F100" s="55"/>
      <c r="G100" s="7"/>
      <c r="H100" s="55"/>
      <c r="I100" s="55"/>
      <c r="J100" s="109"/>
      <c r="K100" s="7"/>
    </row>
    <row r="101" spans="2:11" ht="12.75" hidden="1">
      <c r="B101" s="108">
        <v>0.82</v>
      </c>
      <c r="C101" s="43">
        <v>6.982000000000001</v>
      </c>
      <c r="D101" s="43">
        <v>7.6739999999999995</v>
      </c>
      <c r="E101" s="7"/>
      <c r="F101" s="55"/>
      <c r="G101" s="7"/>
      <c r="H101" s="55"/>
      <c r="I101" s="55"/>
      <c r="J101" s="109"/>
      <c r="K101" s="7"/>
    </row>
    <row r="102" spans="2:11" ht="12.75" hidden="1">
      <c r="B102" s="108">
        <v>0.83</v>
      </c>
      <c r="C102" s="43">
        <v>6.983000000000001</v>
      </c>
      <c r="D102" s="43">
        <v>7.675999999999999</v>
      </c>
      <c r="E102" s="7"/>
      <c r="F102" s="55"/>
      <c r="G102" s="7"/>
      <c r="H102" s="55"/>
      <c r="I102" s="55"/>
      <c r="J102" s="109"/>
      <c r="K102" s="7"/>
    </row>
    <row r="103" spans="2:11" ht="12.75" hidden="1">
      <c r="B103" s="108">
        <v>0.84</v>
      </c>
      <c r="C103" s="43">
        <v>6.984000000000002</v>
      </c>
      <c r="D103" s="43">
        <v>7.677999999999999</v>
      </c>
      <c r="E103" s="7"/>
      <c r="F103" s="55"/>
      <c r="G103" s="7"/>
      <c r="H103" s="55"/>
      <c r="I103" s="55"/>
      <c r="J103" s="109"/>
      <c r="K103" s="7"/>
    </row>
    <row r="104" spans="2:11" ht="12.75" hidden="1">
      <c r="B104" s="108">
        <v>0.85</v>
      </c>
      <c r="C104" s="43">
        <v>6.985</v>
      </c>
      <c r="D104" s="43">
        <v>7.68</v>
      </c>
      <c r="E104" s="7"/>
      <c r="F104" s="55"/>
      <c r="G104" s="7"/>
      <c r="H104" s="55"/>
      <c r="I104" s="55"/>
      <c r="J104" s="109"/>
      <c r="K104" s="7"/>
    </row>
    <row r="105" spans="2:11" ht="12.75" hidden="1">
      <c r="B105" s="108">
        <v>0.86</v>
      </c>
      <c r="C105" s="43">
        <v>6.986000000000002</v>
      </c>
      <c r="D105" s="43">
        <v>7.681999999999999</v>
      </c>
      <c r="E105" s="7"/>
      <c r="F105" s="55"/>
      <c r="G105" s="7"/>
      <c r="H105" s="55"/>
      <c r="I105" s="55"/>
      <c r="J105" s="109"/>
      <c r="K105" s="7"/>
    </row>
    <row r="106" spans="2:11" ht="12.75" hidden="1">
      <c r="B106" s="108">
        <v>0.869999999999999</v>
      </c>
      <c r="C106" s="43">
        <v>6.987000000000003</v>
      </c>
      <c r="D106" s="43">
        <v>7.683999999999998</v>
      </c>
      <c r="E106" s="7"/>
      <c r="F106" s="55"/>
      <c r="G106" s="7"/>
      <c r="H106" s="55"/>
      <c r="I106" s="55"/>
      <c r="J106" s="109"/>
      <c r="K106" s="7"/>
    </row>
    <row r="107" spans="2:11" ht="12.75" hidden="1">
      <c r="B107" s="108">
        <v>0.879999999999999</v>
      </c>
      <c r="C107" s="43">
        <v>6.988000000000003</v>
      </c>
      <c r="D107" s="43">
        <v>7.685999999999998</v>
      </c>
      <c r="E107" s="7"/>
      <c r="F107" s="55"/>
      <c r="G107" s="7"/>
      <c r="H107" s="55"/>
      <c r="I107" s="55"/>
      <c r="J107" s="109"/>
      <c r="K107" s="7"/>
    </row>
    <row r="108" spans="2:11" ht="12.75" hidden="1">
      <c r="B108" s="108">
        <v>0.889999999999999</v>
      </c>
      <c r="C108" s="43">
        <v>6.989000000000003</v>
      </c>
      <c r="D108" s="43">
        <v>7.687999999999998</v>
      </c>
      <c r="E108" s="7"/>
      <c r="F108" s="55"/>
      <c r="G108" s="7"/>
      <c r="H108" s="55"/>
      <c r="I108" s="55"/>
      <c r="J108" s="109"/>
      <c r="K108" s="7"/>
    </row>
    <row r="109" spans="2:11" ht="12.75" hidden="1">
      <c r="B109" s="108">
        <v>0.899999999999999</v>
      </c>
      <c r="C109" s="43">
        <v>6.99</v>
      </c>
      <c r="D109" s="43">
        <v>7.69</v>
      </c>
      <c r="E109" s="7"/>
      <c r="F109" s="55"/>
      <c r="G109" s="7"/>
      <c r="H109" s="55"/>
      <c r="I109" s="55"/>
      <c r="J109" s="109"/>
      <c r="K109" s="7"/>
    </row>
    <row r="110" spans="2:11" ht="12.75" hidden="1">
      <c r="B110" s="108">
        <v>0.909999999999999</v>
      </c>
      <c r="C110" s="43">
        <v>6.991000000000004</v>
      </c>
      <c r="D110" s="43">
        <v>7.6919999999999975</v>
      </c>
      <c r="E110" s="7"/>
      <c r="F110" s="55"/>
      <c r="G110" s="7"/>
      <c r="H110" s="55"/>
      <c r="I110" s="55"/>
      <c r="J110" s="109"/>
      <c r="K110" s="7"/>
    </row>
    <row r="111" spans="2:11" ht="12.75" hidden="1">
      <c r="B111" s="108">
        <v>0.919999999999999</v>
      </c>
      <c r="C111" s="43">
        <v>6.992000000000004</v>
      </c>
      <c r="D111" s="43">
        <v>7.693999999999997</v>
      </c>
      <c r="E111" s="7"/>
      <c r="F111" s="55"/>
      <c r="G111" s="7"/>
      <c r="H111" s="55"/>
      <c r="I111" s="55"/>
      <c r="J111" s="109"/>
      <c r="K111" s="7"/>
    </row>
    <row r="112" spans="2:11" ht="12.75" hidden="1">
      <c r="B112" s="108">
        <v>0.9</v>
      </c>
      <c r="C112" s="43">
        <v>6.99</v>
      </c>
      <c r="D112" s="43">
        <v>7.69</v>
      </c>
      <c r="E112" s="7"/>
      <c r="F112" s="55"/>
      <c r="G112" s="7"/>
      <c r="H112" s="55"/>
      <c r="I112" s="55"/>
      <c r="J112" s="109"/>
      <c r="K112" s="7"/>
    </row>
    <row r="113" spans="2:11" ht="12.75" hidden="1">
      <c r="B113" s="108">
        <v>0.91</v>
      </c>
      <c r="C113" s="43">
        <v>6.9910000000000005</v>
      </c>
      <c r="D113" s="43">
        <v>7.691000000000001</v>
      </c>
      <c r="E113" s="7"/>
      <c r="F113" s="55"/>
      <c r="G113" s="7"/>
      <c r="H113" s="55"/>
      <c r="I113" s="55"/>
      <c r="J113" s="109"/>
      <c r="K113" s="7"/>
    </row>
    <row r="114" spans="2:11" ht="12.75" hidden="1">
      <c r="B114" s="108">
        <v>0.92</v>
      </c>
      <c r="C114" s="43">
        <v>6.992000000000001</v>
      </c>
      <c r="D114" s="43">
        <v>7.692000000000001</v>
      </c>
      <c r="E114" s="7"/>
      <c r="F114" s="55"/>
      <c r="G114" s="7"/>
      <c r="H114" s="55"/>
      <c r="I114" s="55"/>
      <c r="J114" s="109"/>
      <c r="K114" s="7"/>
    </row>
    <row r="115" spans="2:11" ht="12.75" hidden="1">
      <c r="B115" s="108">
        <v>0.93</v>
      </c>
      <c r="C115" s="43">
        <v>6.993000000000001</v>
      </c>
      <c r="D115" s="43">
        <v>7.693000000000001</v>
      </c>
      <c r="E115" s="7"/>
      <c r="F115" s="55"/>
      <c r="G115" s="7"/>
      <c r="H115" s="55"/>
      <c r="I115" s="55"/>
      <c r="J115" s="109"/>
      <c r="K115" s="7"/>
    </row>
    <row r="116" spans="2:11" ht="12.75" hidden="1">
      <c r="B116" s="108">
        <v>0.94</v>
      </c>
      <c r="C116" s="43">
        <v>6.9940000000000015</v>
      </c>
      <c r="D116" s="43">
        <v>7.694000000000002</v>
      </c>
      <c r="E116" s="7"/>
      <c r="F116" s="55"/>
      <c r="G116" s="7"/>
      <c r="H116" s="55"/>
      <c r="I116" s="55"/>
      <c r="J116" s="109"/>
      <c r="K116" s="7"/>
    </row>
    <row r="117" spans="2:11" ht="12.75" hidden="1">
      <c r="B117" s="108">
        <v>0.95</v>
      </c>
      <c r="C117" s="43">
        <v>6.995</v>
      </c>
      <c r="D117" s="43">
        <v>7.695</v>
      </c>
      <c r="E117" s="7"/>
      <c r="F117" s="55"/>
      <c r="G117" s="7"/>
      <c r="H117" s="55"/>
      <c r="I117" s="55"/>
      <c r="J117" s="109"/>
      <c r="K117" s="7"/>
    </row>
    <row r="118" spans="2:11" ht="12.75" hidden="1">
      <c r="B118" s="108">
        <v>0.96</v>
      </c>
      <c r="C118" s="43">
        <v>6.996000000000002</v>
      </c>
      <c r="D118" s="43">
        <v>7.696000000000002</v>
      </c>
      <c r="E118" s="7"/>
      <c r="F118" s="55"/>
      <c r="G118" s="7"/>
      <c r="H118" s="55"/>
      <c r="I118" s="55"/>
      <c r="J118" s="109"/>
      <c r="K118" s="7"/>
    </row>
    <row r="119" spans="2:11" ht="12.75" hidden="1">
      <c r="B119" s="108">
        <v>0.97</v>
      </c>
      <c r="C119" s="43">
        <v>6.9970000000000026</v>
      </c>
      <c r="D119" s="43">
        <v>7.697000000000003</v>
      </c>
      <c r="E119" s="7"/>
      <c r="F119" s="55"/>
      <c r="G119" s="7"/>
      <c r="H119" s="55"/>
      <c r="I119" s="55"/>
      <c r="J119" s="109"/>
      <c r="K119" s="7"/>
    </row>
    <row r="120" spans="2:11" ht="12.75" hidden="1">
      <c r="B120" s="108">
        <v>0.98</v>
      </c>
      <c r="C120" s="43">
        <v>6.998000000000003</v>
      </c>
      <c r="D120" s="43">
        <v>7.698000000000003</v>
      </c>
      <c r="E120" s="7"/>
      <c r="F120" s="55"/>
      <c r="G120" s="7"/>
      <c r="H120" s="55"/>
      <c r="I120" s="55"/>
      <c r="J120" s="109"/>
      <c r="K120" s="7"/>
    </row>
    <row r="121" spans="2:11" ht="12.75" hidden="1">
      <c r="B121" s="108">
        <v>0.99</v>
      </c>
      <c r="C121" s="43">
        <v>6.999000000000003</v>
      </c>
      <c r="D121" s="43">
        <v>7.699000000000003</v>
      </c>
      <c r="E121" s="7"/>
      <c r="F121" s="55"/>
      <c r="G121" s="7"/>
      <c r="H121" s="55"/>
      <c r="I121" s="55"/>
      <c r="J121" s="109"/>
      <c r="K121" s="7"/>
    </row>
    <row r="122" spans="2:11" ht="12.75" hidden="1">
      <c r="B122" s="108">
        <v>1</v>
      </c>
      <c r="C122" s="43">
        <v>7</v>
      </c>
      <c r="D122" s="43">
        <v>7.7</v>
      </c>
      <c r="E122" s="7"/>
      <c r="F122" s="55"/>
      <c r="G122" s="7"/>
      <c r="H122" s="55"/>
      <c r="I122" s="55"/>
      <c r="J122" s="109"/>
      <c r="K122" s="7"/>
    </row>
    <row r="123" spans="2:10" ht="12.75" hidden="1">
      <c r="B123" s="110" t="s">
        <v>171</v>
      </c>
      <c r="C123" s="111"/>
      <c r="D123" s="111"/>
      <c r="E123" s="112">
        <f aca="true" t="shared" si="3" ref="E123:J123">E18/E14</f>
        <v>0.04005236208614259</v>
      </c>
      <c r="F123" s="113">
        <f t="shared" si="3"/>
        <v>0.04359321269519139</v>
      </c>
      <c r="G123" s="113">
        <f t="shared" si="3"/>
        <v>0.03444150491671105</v>
      </c>
      <c r="H123" s="113">
        <f t="shared" si="3"/>
        <v>0.03668986751664174</v>
      </c>
      <c r="I123" s="113">
        <f t="shared" si="3"/>
        <v>0.05386734377382098</v>
      </c>
      <c r="J123" s="114">
        <f t="shared" si="3"/>
        <v>0.035593464171058214</v>
      </c>
    </row>
    <row r="124" spans="2:10" ht="12.75">
      <c r="B124" s="110"/>
      <c r="C124" s="111"/>
      <c r="D124" s="111"/>
      <c r="E124" s="115">
        <v>2</v>
      </c>
      <c r="F124" s="115">
        <v>2</v>
      </c>
      <c r="G124" s="115">
        <v>2</v>
      </c>
      <c r="H124" s="115">
        <v>2</v>
      </c>
      <c r="I124" s="115">
        <v>2</v>
      </c>
      <c r="J124" s="116">
        <v>1</v>
      </c>
    </row>
    <row r="125" spans="2:10" ht="15.75">
      <c r="B125" s="110" t="s">
        <v>194</v>
      </c>
      <c r="C125" s="111"/>
      <c r="D125" s="111"/>
      <c r="E125" s="117">
        <f aca="true" t="shared" si="4" ref="E125:J125">IF(E124=1,VLOOKUP(TRUNC(ROUND(E123,2),2),$B$19:$D$122,2),VLOOKUP(TRUNC(ROUND(E123,3),2),$B$19:$D$122,3))</f>
        <v>6.44</v>
      </c>
      <c r="F125" s="117">
        <f t="shared" si="4"/>
        <v>6.44</v>
      </c>
      <c r="G125" s="117">
        <f t="shared" si="4"/>
        <v>5.93</v>
      </c>
      <c r="H125" s="117">
        <f t="shared" si="4"/>
        <v>5.93</v>
      </c>
      <c r="I125" s="117">
        <f t="shared" si="4"/>
        <v>6.45</v>
      </c>
      <c r="J125" s="118">
        <f t="shared" si="4"/>
        <v>5.84</v>
      </c>
    </row>
    <row r="126" spans="2:10" ht="15.75">
      <c r="B126" s="110" t="s">
        <v>195</v>
      </c>
      <c r="C126" s="111"/>
      <c r="D126" s="111"/>
      <c r="E126" s="15">
        <v>1</v>
      </c>
      <c r="F126" s="15">
        <v>1.15</v>
      </c>
      <c r="G126" s="15">
        <v>1</v>
      </c>
      <c r="H126" s="15">
        <v>1.15</v>
      </c>
      <c r="I126" s="15">
        <v>1.15</v>
      </c>
      <c r="J126" s="119">
        <v>1.15</v>
      </c>
    </row>
    <row r="127" spans="2:10" ht="12.75">
      <c r="B127" s="110"/>
      <c r="C127" s="111"/>
      <c r="D127" s="111"/>
      <c r="E127" s="15"/>
      <c r="F127" s="15"/>
      <c r="G127" s="15"/>
      <c r="H127" s="15"/>
      <c r="I127" s="15"/>
      <c r="J127" s="119"/>
    </row>
    <row r="128" spans="2:10" ht="12.75">
      <c r="B128" s="110" t="s">
        <v>172</v>
      </c>
      <c r="C128" s="111"/>
      <c r="D128" s="111"/>
      <c r="E128" s="120">
        <f aca="true" t="shared" si="5" ref="E128:J128">E126*E125*E14*(E12/(100*E14))^2</f>
        <v>6.493666666666666</v>
      </c>
      <c r="F128" s="120">
        <f t="shared" si="5"/>
        <v>4.48063</v>
      </c>
      <c r="G128" s="120">
        <f t="shared" si="5"/>
        <v>3.162666666666666</v>
      </c>
      <c r="H128" s="120">
        <f t="shared" si="5"/>
        <v>2.1822399999999997</v>
      </c>
      <c r="I128" s="120">
        <f t="shared" si="5"/>
        <v>2.3736</v>
      </c>
      <c r="J128" s="121">
        <f t="shared" si="5"/>
        <v>2.7199799999999996</v>
      </c>
    </row>
    <row r="129" spans="2:10" ht="12.75">
      <c r="B129" s="110" t="s">
        <v>173</v>
      </c>
      <c r="C129" s="111"/>
      <c r="D129" s="111"/>
      <c r="E129" s="122">
        <f aca="true" t="shared" si="6" ref="E129:J129">0.15*E14</f>
        <v>4.5</v>
      </c>
      <c r="F129" s="122">
        <f t="shared" si="6"/>
        <v>7.5</v>
      </c>
      <c r="G129" s="122">
        <f t="shared" si="6"/>
        <v>4.5</v>
      </c>
      <c r="H129" s="122">
        <f t="shared" si="6"/>
        <v>7.5</v>
      </c>
      <c r="I129" s="122">
        <f t="shared" si="6"/>
        <v>7.5</v>
      </c>
      <c r="J129" s="123">
        <f t="shared" si="6"/>
        <v>7.5</v>
      </c>
    </row>
    <row r="130" spans="2:10" ht="12.75">
      <c r="B130" s="110" t="s">
        <v>174</v>
      </c>
      <c r="C130" s="111"/>
      <c r="D130" s="111"/>
      <c r="E130" s="122">
        <f aca="true" t="shared" si="7" ref="E130:J130">E18+E128+E129</f>
        <v>12.195237529250944</v>
      </c>
      <c r="F130" s="122">
        <f t="shared" si="7"/>
        <v>14.16029063475957</v>
      </c>
      <c r="G130" s="122">
        <f t="shared" si="7"/>
        <v>8.695911814167998</v>
      </c>
      <c r="H130" s="122">
        <f t="shared" si="7"/>
        <v>11.516733375832086</v>
      </c>
      <c r="I130" s="122">
        <f t="shared" si="7"/>
        <v>12.566967188691049</v>
      </c>
      <c r="J130" s="123">
        <f t="shared" si="7"/>
        <v>11.99965320855291</v>
      </c>
    </row>
    <row r="131" spans="2:10" ht="12.75">
      <c r="B131" s="110" t="s">
        <v>175</v>
      </c>
      <c r="C131" s="111"/>
      <c r="D131" s="111"/>
      <c r="E131" s="122">
        <f aca="true" t="shared" si="8" ref="E131:J131">+E130+0.5*E14</f>
        <v>27.195237529250946</v>
      </c>
      <c r="F131" s="122">
        <f t="shared" si="8"/>
        <v>39.16029063475957</v>
      </c>
      <c r="G131" s="122">
        <f t="shared" si="8"/>
        <v>23.695911814168</v>
      </c>
      <c r="H131" s="122">
        <f t="shared" si="8"/>
        <v>36.51673337583209</v>
      </c>
      <c r="I131" s="122">
        <f t="shared" si="8"/>
        <v>37.56696718869105</v>
      </c>
      <c r="J131" s="123">
        <f t="shared" si="8"/>
        <v>36.999653208552914</v>
      </c>
    </row>
    <row r="132" spans="2:10" ht="12.75">
      <c r="B132" s="110" t="s">
        <v>176</v>
      </c>
      <c r="C132" s="111"/>
      <c r="D132" s="111"/>
      <c r="E132" s="124">
        <f aca="true" t="shared" si="9" ref="E132:J132">(E10*E131)/100</f>
        <v>3912.5788233333337</v>
      </c>
      <c r="F132" s="124">
        <f t="shared" si="9"/>
        <v>13893.2879114</v>
      </c>
      <c r="G132" s="124">
        <f t="shared" si="9"/>
        <v>6414.867201866667</v>
      </c>
      <c r="H132" s="124">
        <f t="shared" si="9"/>
        <v>28068.587109333337</v>
      </c>
      <c r="I132" s="124">
        <f t="shared" si="9"/>
        <v>47640.173770666675</v>
      </c>
      <c r="J132" s="125">
        <f t="shared" si="9"/>
        <v>65154.909314133336</v>
      </c>
    </row>
    <row r="133" spans="2:10" ht="12.75">
      <c r="B133" s="110"/>
      <c r="C133" s="111"/>
      <c r="D133" s="111"/>
      <c r="E133" s="15"/>
      <c r="F133" s="15"/>
      <c r="G133" s="15"/>
      <c r="H133" s="15"/>
      <c r="I133" s="15"/>
      <c r="J133" s="119"/>
    </row>
    <row r="134" spans="2:10" ht="12.75">
      <c r="B134" s="126" t="s">
        <v>123</v>
      </c>
      <c r="C134" s="127"/>
      <c r="D134" s="127"/>
      <c r="E134" s="15"/>
      <c r="F134" s="15"/>
      <c r="G134" s="15"/>
      <c r="H134" s="15"/>
      <c r="I134" s="15"/>
      <c r="J134" s="119"/>
    </row>
    <row r="135" spans="2:10" ht="12.75">
      <c r="B135" s="98" t="s">
        <v>177</v>
      </c>
      <c r="C135" s="99"/>
      <c r="D135" s="99"/>
      <c r="E135" s="15"/>
      <c r="F135" s="15"/>
      <c r="G135" s="15"/>
      <c r="H135" s="15"/>
      <c r="I135" s="15"/>
      <c r="J135" s="119"/>
    </row>
    <row r="136" spans="2:10" ht="12.75">
      <c r="B136" s="110" t="s">
        <v>178</v>
      </c>
      <c r="C136" s="111"/>
      <c r="D136" s="111"/>
      <c r="E136" s="128">
        <f aca="true" t="shared" si="10" ref="E136:J136">E14*10</f>
        <v>300</v>
      </c>
      <c r="F136" s="128">
        <f t="shared" si="10"/>
        <v>500</v>
      </c>
      <c r="G136" s="128">
        <f t="shared" si="10"/>
        <v>300</v>
      </c>
      <c r="H136" s="128">
        <f t="shared" si="10"/>
        <v>500</v>
      </c>
      <c r="I136" s="128">
        <f t="shared" si="10"/>
        <v>500</v>
      </c>
      <c r="J136" s="129">
        <f t="shared" si="10"/>
        <v>500</v>
      </c>
    </row>
    <row r="137" spans="2:10" ht="12.75">
      <c r="B137" s="110" t="s">
        <v>179</v>
      </c>
      <c r="C137" s="111"/>
      <c r="D137" s="111"/>
      <c r="E137" s="96">
        <v>20</v>
      </c>
      <c r="F137" s="96">
        <v>20</v>
      </c>
      <c r="G137" s="96">
        <v>20</v>
      </c>
      <c r="H137" s="96">
        <v>20</v>
      </c>
      <c r="I137" s="96">
        <v>20</v>
      </c>
      <c r="J137" s="97">
        <v>20</v>
      </c>
    </row>
    <row r="138" spans="2:10" ht="12.75">
      <c r="B138" s="110" t="s">
        <v>180</v>
      </c>
      <c r="C138" s="111"/>
      <c r="D138" s="111"/>
      <c r="E138" s="96">
        <f aca="true" t="shared" si="11" ref="E138:J138">+E136-E137</f>
        <v>280</v>
      </c>
      <c r="F138" s="96">
        <f t="shared" si="11"/>
        <v>480</v>
      </c>
      <c r="G138" s="96">
        <f t="shared" si="11"/>
        <v>280</v>
      </c>
      <c r="H138" s="96">
        <f t="shared" si="11"/>
        <v>480</v>
      </c>
      <c r="I138" s="96">
        <f t="shared" si="11"/>
        <v>480</v>
      </c>
      <c r="J138" s="97">
        <f t="shared" si="11"/>
        <v>480</v>
      </c>
    </row>
    <row r="139" spans="2:10" ht="12.75">
      <c r="B139" s="110" t="s">
        <v>181</v>
      </c>
      <c r="C139" s="111"/>
      <c r="D139" s="111"/>
      <c r="E139" s="96">
        <v>25</v>
      </c>
      <c r="F139" s="96">
        <v>25</v>
      </c>
      <c r="G139" s="96">
        <v>25</v>
      </c>
      <c r="H139" s="96">
        <v>25</v>
      </c>
      <c r="I139" s="96">
        <v>25</v>
      </c>
      <c r="J139" s="130">
        <v>25</v>
      </c>
    </row>
    <row r="140" spans="2:10" ht="12.75">
      <c r="B140" s="110" t="s">
        <v>182</v>
      </c>
      <c r="C140" s="111"/>
      <c r="D140" s="111"/>
      <c r="E140" s="96">
        <v>350</v>
      </c>
      <c r="F140" s="96">
        <v>350</v>
      </c>
      <c r="G140" s="96">
        <v>350</v>
      </c>
      <c r="H140" s="96">
        <v>350</v>
      </c>
      <c r="I140" s="96">
        <v>350</v>
      </c>
      <c r="J140" s="130">
        <v>350</v>
      </c>
    </row>
    <row r="141" spans="2:10" ht="12.75">
      <c r="B141" s="110"/>
      <c r="C141" s="111"/>
      <c r="D141" s="111"/>
      <c r="E141" s="15"/>
      <c r="F141" s="15"/>
      <c r="G141" s="15"/>
      <c r="H141" s="15"/>
      <c r="I141" s="15"/>
      <c r="J141" s="119"/>
    </row>
    <row r="142" spans="2:10" ht="12.75">
      <c r="B142" s="110" t="s">
        <v>53</v>
      </c>
      <c r="C142" s="111"/>
      <c r="D142" s="111"/>
      <c r="E142" s="131">
        <f aca="true" t="shared" si="12" ref="E142:J142">+E140/(0.85*E139)</f>
        <v>16.470588235294116</v>
      </c>
      <c r="F142" s="131">
        <f t="shared" si="12"/>
        <v>16.470588235294116</v>
      </c>
      <c r="G142" s="131">
        <f t="shared" si="12"/>
        <v>16.470588235294116</v>
      </c>
      <c r="H142" s="131">
        <f t="shared" si="12"/>
        <v>16.470588235294116</v>
      </c>
      <c r="I142" s="131">
        <f t="shared" si="12"/>
        <v>16.470588235294116</v>
      </c>
      <c r="J142" s="132">
        <f t="shared" si="12"/>
        <v>16.470588235294116</v>
      </c>
    </row>
    <row r="143" spans="2:10" ht="12.75">
      <c r="B143" s="110" t="s">
        <v>183</v>
      </c>
      <c r="C143" s="111"/>
      <c r="D143" s="111"/>
      <c r="E143" s="120">
        <f aca="true" t="shared" si="13" ref="E143:J143">+E132*10000/(0.85*E136*E138*E138)</f>
        <v>1.957072240562892</v>
      </c>
      <c r="F143" s="120">
        <f t="shared" si="13"/>
        <v>1.4188406772263071</v>
      </c>
      <c r="G143" s="120">
        <f t="shared" si="13"/>
        <v>3.208717087768441</v>
      </c>
      <c r="H143" s="120">
        <f t="shared" si="13"/>
        <v>2.8664815266884536</v>
      </c>
      <c r="I143" s="120">
        <f t="shared" si="13"/>
        <v>4.8652138246187375</v>
      </c>
      <c r="J143" s="121">
        <f t="shared" si="13"/>
        <v>6.653891882570806</v>
      </c>
    </row>
    <row r="144" spans="2:10" ht="12.75">
      <c r="B144" s="133" t="s">
        <v>196</v>
      </c>
      <c r="C144" s="134"/>
      <c r="D144" s="134"/>
      <c r="E144" s="135">
        <f aca="true" t="shared" si="14" ref="E144:J144">+(1/E142)*(1-SQRT(1-((2*E143*E142)/E140)))</f>
        <v>0.005875975719629452</v>
      </c>
      <c r="F144" s="135">
        <f t="shared" si="14"/>
        <v>0.004199034298451468</v>
      </c>
      <c r="G144" s="135">
        <f t="shared" si="14"/>
        <v>0.009989576622888576</v>
      </c>
      <c r="H144" s="135">
        <f t="shared" si="14"/>
        <v>0.008832391966042429</v>
      </c>
      <c r="I144" s="135">
        <f t="shared" si="14"/>
        <v>0.01601201325653054</v>
      </c>
      <c r="J144" s="136">
        <f t="shared" si="14"/>
        <v>0.02359648152708309</v>
      </c>
    </row>
    <row r="145" spans="2:10" ht="12.75">
      <c r="B145" s="133" t="s">
        <v>197</v>
      </c>
      <c r="C145" s="134"/>
      <c r="D145" s="134"/>
      <c r="E145" s="137">
        <f aca="true" t="shared" si="15" ref="E145:J145">IF(IF(E144&gt;(1.4/E140),E144,(1.4/E140))&lt;(0.75*(0.85*E139/E140)*(600/(600+E140))),IF(E144&gt;(1.4/E140),E144,(1.4/E140)),"ganti balok")</f>
        <v>0.005875975719629452</v>
      </c>
      <c r="F145" s="137">
        <f t="shared" si="15"/>
        <v>0.004199034298451468</v>
      </c>
      <c r="G145" s="137">
        <f t="shared" si="15"/>
        <v>0.009989576622888576</v>
      </c>
      <c r="H145" s="137">
        <f t="shared" si="15"/>
        <v>0.008832391966042429</v>
      </c>
      <c r="I145" s="137">
        <f t="shared" si="15"/>
        <v>0.01601201325653054</v>
      </c>
      <c r="J145" s="138">
        <f t="shared" si="15"/>
        <v>0.02359648152708309</v>
      </c>
    </row>
    <row r="146" spans="2:10" ht="18.75">
      <c r="B146" s="110" t="s">
        <v>198</v>
      </c>
      <c r="C146" s="111"/>
      <c r="D146" s="111"/>
      <c r="E146" s="139">
        <f aca="true" t="shared" si="16" ref="E146:J146">+E145*E136*E138</f>
        <v>493.58196044887393</v>
      </c>
      <c r="F146" s="139">
        <f t="shared" si="16"/>
        <v>1007.7682316283524</v>
      </c>
      <c r="G146" s="139">
        <f t="shared" si="16"/>
        <v>839.1244363226403</v>
      </c>
      <c r="H146" s="139">
        <f t="shared" si="16"/>
        <v>2119.7740718501827</v>
      </c>
      <c r="I146" s="139">
        <f t="shared" si="16"/>
        <v>3842.883181567329</v>
      </c>
      <c r="J146" s="140">
        <f t="shared" si="16"/>
        <v>5663.155566499942</v>
      </c>
    </row>
    <row r="147" spans="2:10" ht="12.75">
      <c r="B147" s="110" t="s">
        <v>184</v>
      </c>
      <c r="C147" s="111"/>
      <c r="D147" s="111"/>
      <c r="E147" s="2" t="s">
        <v>94</v>
      </c>
      <c r="F147" s="141" t="s">
        <v>185</v>
      </c>
      <c r="G147" s="2" t="s">
        <v>186</v>
      </c>
      <c r="H147" s="141" t="s">
        <v>187</v>
      </c>
      <c r="I147" s="142" t="s">
        <v>188</v>
      </c>
      <c r="J147" s="142" t="s">
        <v>189</v>
      </c>
    </row>
    <row r="148" spans="2:11" ht="12.75">
      <c r="B148" s="110" t="s">
        <v>190</v>
      </c>
      <c r="C148" s="111"/>
      <c r="D148" s="111"/>
      <c r="E148" s="143">
        <f aca="true" t="shared" si="17" ref="E148:J148">IF(E146&lt;IF(MID(E147,2,1)=" ",LEFT(E147,1)*0.25*3.14*MID(E147,4,2)^2,LEFT(E147,2)*0.25*3.14*MID(E147,5,2)^2),IF(MID(E147,2,1)=" ",LEFT(E147,1)*0.25*3.14*MID(E147,4,2)^2,LEFT(E147,2)*0.25*3.14*MID(E147,5,2)^2),"ganti")</f>
        <v>530.66</v>
      </c>
      <c r="F148" s="144">
        <f t="shared" si="17"/>
        <v>1133.54</v>
      </c>
      <c r="G148" s="144">
        <f t="shared" si="17"/>
        <v>1061.32</v>
      </c>
      <c r="H148" s="144">
        <f t="shared" si="17"/>
        <v>2267.08</v>
      </c>
      <c r="I148" s="144">
        <f t="shared" si="17"/>
        <v>4179.34</v>
      </c>
      <c r="J148" s="145">
        <f t="shared" si="17"/>
        <v>5699.1</v>
      </c>
      <c r="K148" s="83"/>
    </row>
    <row r="149" spans="2:10" ht="12.75">
      <c r="B149" s="146"/>
      <c r="C149" s="147"/>
      <c r="D149" s="147"/>
      <c r="E149" s="148"/>
      <c r="F149" s="148"/>
      <c r="G149" s="148"/>
      <c r="H149" s="148"/>
      <c r="I149" s="148"/>
      <c r="J149" s="149"/>
    </row>
    <row r="150" spans="2:10" ht="12.75">
      <c r="B150" s="126" t="s">
        <v>138</v>
      </c>
      <c r="C150" s="147"/>
      <c r="D150" s="147"/>
      <c r="E150" s="150" t="s">
        <v>191</v>
      </c>
      <c r="F150" s="150" t="s">
        <v>192</v>
      </c>
      <c r="G150" s="150" t="s">
        <v>140</v>
      </c>
      <c r="H150" s="150" t="s">
        <v>192</v>
      </c>
      <c r="I150" s="150" t="s">
        <v>192</v>
      </c>
      <c r="J150" s="151" t="s">
        <v>192</v>
      </c>
    </row>
    <row r="151" spans="2:10" ht="12.75">
      <c r="B151" s="146" t="s">
        <v>141</v>
      </c>
      <c r="C151" s="147"/>
      <c r="D151" s="147"/>
      <c r="E151" s="148">
        <f aca="true" t="shared" si="18" ref="E151:J151">48*MID(E150,2,2)</f>
        <v>384</v>
      </c>
      <c r="F151" s="148">
        <f t="shared" si="18"/>
        <v>576</v>
      </c>
      <c r="G151" s="148">
        <f t="shared" si="18"/>
        <v>480</v>
      </c>
      <c r="H151" s="148">
        <f t="shared" si="18"/>
        <v>576</v>
      </c>
      <c r="I151" s="148">
        <f t="shared" si="18"/>
        <v>576</v>
      </c>
      <c r="J151" s="152">
        <f t="shared" si="18"/>
        <v>576</v>
      </c>
    </row>
    <row r="152" spans="2:10" ht="12.75">
      <c r="B152" s="146" t="s">
        <v>142</v>
      </c>
      <c r="C152" s="147"/>
      <c r="D152" s="147"/>
      <c r="E152" s="148">
        <f aca="true" t="shared" si="19" ref="E152:J152">16*IF(E146&lt;IF(MID(E147,2,1)=" ",MID(E147,4,2),MID(E147,5,2)),IF(MID(E147,2,1)=" ",MID(E147,4,2),MID(E147,5,2)),"ganti")</f>
        <v>208</v>
      </c>
      <c r="F152" s="148">
        <f t="shared" si="19"/>
        <v>304</v>
      </c>
      <c r="G152" s="148">
        <f t="shared" si="19"/>
        <v>208</v>
      </c>
      <c r="H152" s="148">
        <f t="shared" si="19"/>
        <v>304</v>
      </c>
      <c r="I152" s="148">
        <f t="shared" si="19"/>
        <v>352</v>
      </c>
      <c r="J152" s="152">
        <f t="shared" si="19"/>
        <v>352</v>
      </c>
    </row>
    <row r="153" spans="2:10" ht="12.75">
      <c r="B153" s="146" t="s">
        <v>143</v>
      </c>
      <c r="C153" s="147"/>
      <c r="D153" s="147"/>
      <c r="E153" s="148">
        <f aca="true" t="shared" si="20" ref="E153:J153">MIN(E13:E14)*10</f>
        <v>300</v>
      </c>
      <c r="F153" s="148">
        <f t="shared" si="20"/>
        <v>500</v>
      </c>
      <c r="G153" s="148">
        <f t="shared" si="20"/>
        <v>300</v>
      </c>
      <c r="H153" s="148">
        <f t="shared" si="20"/>
        <v>500</v>
      </c>
      <c r="I153" s="148">
        <f t="shared" si="20"/>
        <v>500</v>
      </c>
      <c r="J153" s="152">
        <f t="shared" si="20"/>
        <v>500</v>
      </c>
    </row>
    <row r="154" spans="2:10" ht="12.75">
      <c r="B154" s="146" t="s">
        <v>144</v>
      </c>
      <c r="C154" s="147"/>
      <c r="D154" s="147"/>
      <c r="E154" s="148">
        <f aca="true" t="shared" si="21" ref="E154:J154">MIN(E151:E153)</f>
        <v>208</v>
      </c>
      <c r="F154" s="148">
        <f t="shared" si="21"/>
        <v>304</v>
      </c>
      <c r="G154" s="148">
        <f t="shared" si="21"/>
        <v>208</v>
      </c>
      <c r="H154" s="148">
        <f t="shared" si="21"/>
        <v>304</v>
      </c>
      <c r="I154" s="148">
        <f t="shared" si="21"/>
        <v>352</v>
      </c>
      <c r="J154" s="152">
        <f t="shared" si="21"/>
        <v>352</v>
      </c>
    </row>
    <row r="155" spans="2:10" ht="12.75">
      <c r="B155" s="146" t="s">
        <v>193</v>
      </c>
      <c r="C155" s="147"/>
      <c r="D155" s="147"/>
      <c r="E155" s="150" t="str">
        <f aca="true" t="shared" si="22" ref="E155:J155">E150&amp;" - "&amp;E154</f>
        <v>d8 - 208</v>
      </c>
      <c r="F155" s="150" t="str">
        <f t="shared" si="22"/>
        <v>d12 - 304</v>
      </c>
      <c r="G155" s="150" t="str">
        <f t="shared" si="22"/>
        <v>d10 - 208</v>
      </c>
      <c r="H155" s="150" t="str">
        <f t="shared" si="22"/>
        <v>d12 - 304</v>
      </c>
      <c r="I155" s="150" t="str">
        <f t="shared" si="22"/>
        <v>d12 - 352</v>
      </c>
      <c r="J155" s="151" t="str">
        <f t="shared" si="22"/>
        <v>d12 - 352</v>
      </c>
    </row>
    <row r="156" spans="2:10" ht="13.5" thickBot="1">
      <c r="B156" s="153"/>
      <c r="C156" s="154"/>
      <c r="D156" s="154"/>
      <c r="E156" s="155"/>
      <c r="F156" s="155"/>
      <c r="G156" s="155"/>
      <c r="H156" s="155"/>
      <c r="I156" s="155"/>
      <c r="J156" s="156"/>
    </row>
    <row r="157" spans="2:4" ht="12.75">
      <c r="B157" s="157"/>
      <c r="C157" s="157"/>
      <c r="D157" s="157"/>
    </row>
    <row r="158" spans="2:4" ht="15.75">
      <c r="B158" s="157" t="s">
        <v>199</v>
      </c>
      <c r="C158" s="157"/>
      <c r="D158" s="157"/>
    </row>
    <row r="159" spans="2:4" ht="15.75">
      <c r="B159" s="157" t="s">
        <v>200</v>
      </c>
      <c r="C159" s="157"/>
      <c r="D159" s="157"/>
    </row>
    <row r="160" spans="2:4" ht="12.75">
      <c r="B160" s="157"/>
      <c r="C160" s="157"/>
      <c r="D160" s="157"/>
    </row>
    <row r="161" spans="2:4" ht="12.75">
      <c r="B161" s="157"/>
      <c r="C161" s="157"/>
      <c r="D161" s="157"/>
    </row>
    <row r="162" spans="2:4" ht="12.75">
      <c r="B162" s="157"/>
      <c r="C162" s="157"/>
      <c r="D162" s="157"/>
    </row>
    <row r="163" spans="2:4" ht="12.75">
      <c r="B163" s="157"/>
      <c r="C163" s="157"/>
      <c r="D163" s="157"/>
    </row>
    <row r="164" spans="2:4" ht="12.75">
      <c r="B164" s="157"/>
      <c r="C164" s="157"/>
      <c r="D164" s="157"/>
    </row>
    <row r="165" spans="2:4" ht="12.75">
      <c r="B165" s="157"/>
      <c r="C165" s="157"/>
      <c r="D165" s="157"/>
    </row>
    <row r="166" spans="2:4" ht="12.75">
      <c r="B166" s="157"/>
      <c r="C166" s="157"/>
      <c r="D166" s="157"/>
    </row>
    <row r="167" spans="2:4" ht="12.75">
      <c r="B167" s="157"/>
      <c r="C167" s="157"/>
      <c r="D167" s="157"/>
    </row>
    <row r="168" spans="2:4" ht="12.75">
      <c r="B168" s="157"/>
      <c r="C168" s="157"/>
      <c r="D168" s="157"/>
    </row>
    <row r="169" spans="2:4" ht="12.75">
      <c r="B169" s="157"/>
      <c r="C169" s="157"/>
      <c r="D169" s="157"/>
    </row>
    <row r="170" spans="2:4" ht="12.75">
      <c r="B170" s="157"/>
      <c r="C170" s="157"/>
      <c r="D170" s="157"/>
    </row>
    <row r="171" spans="2:4" ht="12.75">
      <c r="B171" s="157"/>
      <c r="C171" s="157"/>
      <c r="D171" s="157"/>
    </row>
    <row r="172" spans="2:4" ht="12.75">
      <c r="B172" s="157"/>
      <c r="C172" s="157"/>
      <c r="D172" s="157"/>
    </row>
    <row r="173" spans="2:4" ht="12.75">
      <c r="B173" s="157"/>
      <c r="C173" s="157"/>
      <c r="D173" s="157"/>
    </row>
    <row r="174" spans="2:4" ht="12.75">
      <c r="B174" s="157"/>
      <c r="C174" s="157"/>
      <c r="D174" s="157"/>
    </row>
    <row r="175" spans="2:4" ht="12.75">
      <c r="B175" s="157"/>
      <c r="C175" s="157"/>
      <c r="D175" s="157"/>
    </row>
    <row r="176" spans="2:4" ht="12.75">
      <c r="B176" s="157"/>
      <c r="C176" s="157"/>
      <c r="D176" s="157"/>
    </row>
    <row r="177" spans="2:4" ht="12.75">
      <c r="B177" s="157"/>
      <c r="C177" s="157"/>
      <c r="D177" s="157"/>
    </row>
    <row r="178" spans="2:4" ht="12.75">
      <c r="B178" s="157"/>
      <c r="C178" s="157"/>
      <c r="D178" s="157"/>
    </row>
    <row r="179" spans="2:4" ht="12.75">
      <c r="B179" s="157"/>
      <c r="C179" s="157"/>
      <c r="D179" s="157"/>
    </row>
    <row r="180" spans="2:4" ht="12.75">
      <c r="B180" s="157"/>
      <c r="C180" s="157"/>
      <c r="D180" s="157"/>
    </row>
    <row r="181" spans="2:4" ht="12.75">
      <c r="B181" s="157"/>
      <c r="C181" s="157"/>
      <c r="D181" s="157"/>
    </row>
    <row r="182" spans="2:4" ht="12.75">
      <c r="B182" s="157"/>
      <c r="C182" s="157"/>
      <c r="D182" s="157"/>
    </row>
    <row r="183" spans="2:4" ht="12.75">
      <c r="B183" s="157"/>
      <c r="C183" s="157"/>
      <c r="D183" s="157"/>
    </row>
    <row r="184" spans="2:4" ht="12.75">
      <c r="B184" s="157"/>
      <c r="C184" s="157"/>
      <c r="D184" s="157"/>
    </row>
    <row r="185" spans="2:4" ht="12.75">
      <c r="B185" s="157"/>
      <c r="C185" s="157"/>
      <c r="D185" s="157"/>
    </row>
    <row r="186" spans="2:4" ht="12.75">
      <c r="B186" s="157"/>
      <c r="C186" s="157"/>
      <c r="D186" s="157"/>
    </row>
    <row r="187" spans="2:4" ht="12.75">
      <c r="B187" s="157"/>
      <c r="C187" s="157"/>
      <c r="D187" s="157"/>
    </row>
    <row r="188" spans="2:4" ht="12.75">
      <c r="B188" s="157"/>
      <c r="C188" s="157"/>
      <c r="D188" s="157"/>
    </row>
    <row r="189" spans="2:4" ht="12.75">
      <c r="B189" s="157"/>
      <c r="C189" s="157"/>
      <c r="D189" s="157"/>
    </row>
    <row r="190" spans="2:4" ht="12.75">
      <c r="B190" s="157"/>
      <c r="C190" s="157"/>
      <c r="D190" s="157"/>
    </row>
    <row r="191" spans="2:4" ht="12.75">
      <c r="B191" s="157"/>
      <c r="C191" s="157"/>
      <c r="D191" s="157"/>
    </row>
    <row r="192" spans="2:4" ht="12.75">
      <c r="B192" s="157"/>
      <c r="C192" s="157"/>
      <c r="D192" s="157"/>
    </row>
    <row r="193" spans="2:4" ht="12.75">
      <c r="B193" s="157"/>
      <c r="C193" s="157"/>
      <c r="D193" s="157"/>
    </row>
    <row r="194" spans="2:4" ht="12.75">
      <c r="B194" s="157"/>
      <c r="C194" s="157"/>
      <c r="D194" s="157"/>
    </row>
    <row r="195" spans="2:4" ht="12.75">
      <c r="B195" s="157"/>
      <c r="C195" s="157"/>
      <c r="D195" s="157"/>
    </row>
    <row r="196" spans="2:4" ht="12.75">
      <c r="B196" s="157"/>
      <c r="C196" s="157"/>
      <c r="D196" s="157"/>
    </row>
    <row r="197" spans="2:4" ht="12.75">
      <c r="B197" s="157"/>
      <c r="C197" s="157"/>
      <c r="D197" s="157"/>
    </row>
    <row r="198" spans="2:4" ht="12.75">
      <c r="B198" s="157"/>
      <c r="C198" s="157"/>
      <c r="D198" s="157"/>
    </row>
    <row r="199" spans="2:4" ht="12.75">
      <c r="B199" s="157"/>
      <c r="C199" s="157"/>
      <c r="D199" s="157"/>
    </row>
    <row r="200" spans="2:4" ht="12.75">
      <c r="B200" s="157"/>
      <c r="C200" s="157"/>
      <c r="D200" s="157"/>
    </row>
    <row r="201" spans="2:4" ht="12.75">
      <c r="B201" s="157"/>
      <c r="C201" s="157"/>
      <c r="D201" s="157"/>
    </row>
    <row r="202" spans="2:4" ht="12.75">
      <c r="B202" s="157"/>
      <c r="C202" s="157"/>
      <c r="D202" s="157"/>
    </row>
    <row r="203" spans="2:4" ht="12.75">
      <c r="B203" s="157"/>
      <c r="C203" s="157"/>
      <c r="D203" s="157"/>
    </row>
    <row r="204" spans="2:4" ht="12.75">
      <c r="B204" s="157"/>
      <c r="C204" s="157"/>
      <c r="D204" s="157"/>
    </row>
    <row r="205" spans="2:4" ht="12.75">
      <c r="B205" s="157"/>
      <c r="C205" s="157"/>
      <c r="D205" s="157"/>
    </row>
    <row r="206" spans="2:4" ht="12.75">
      <c r="B206" s="157"/>
      <c r="C206" s="157"/>
      <c r="D206" s="157"/>
    </row>
    <row r="207" spans="2:4" ht="12.75">
      <c r="B207" s="157"/>
      <c r="C207" s="157"/>
      <c r="D207" s="157"/>
    </row>
    <row r="208" spans="2:4" ht="12.75">
      <c r="B208" s="157"/>
      <c r="C208" s="157"/>
      <c r="D208" s="157"/>
    </row>
    <row r="209" spans="2:4" ht="12.75">
      <c r="B209" s="157"/>
      <c r="C209" s="157"/>
      <c r="D209" s="157"/>
    </row>
    <row r="210" spans="2:4" ht="12.75">
      <c r="B210" s="157"/>
      <c r="C210" s="157"/>
      <c r="D210" s="157"/>
    </row>
    <row r="211" spans="2:4" ht="12.75">
      <c r="B211" s="157"/>
      <c r="C211" s="157"/>
      <c r="D211" s="157"/>
    </row>
    <row r="212" spans="2:4" ht="12.75">
      <c r="B212" s="157"/>
      <c r="C212" s="157"/>
      <c r="D212" s="157"/>
    </row>
    <row r="213" spans="2:4" ht="12.75">
      <c r="B213" s="157"/>
      <c r="C213" s="157"/>
      <c r="D213" s="157"/>
    </row>
    <row r="214" spans="2:4" ht="12.75">
      <c r="B214" s="157"/>
      <c r="C214" s="157"/>
      <c r="D214" s="157"/>
    </row>
    <row r="215" spans="2:4" ht="12.75">
      <c r="B215" s="157"/>
      <c r="C215" s="157"/>
      <c r="D215" s="157"/>
    </row>
    <row r="216" spans="2:4" ht="12.75">
      <c r="B216" s="157"/>
      <c r="C216" s="157"/>
      <c r="D216" s="157"/>
    </row>
    <row r="217" spans="2:4" ht="12.75">
      <c r="B217" s="157"/>
      <c r="C217" s="157"/>
      <c r="D217" s="157"/>
    </row>
    <row r="218" spans="2:4" ht="12.75">
      <c r="B218" s="157"/>
      <c r="C218" s="157"/>
      <c r="D218" s="157"/>
    </row>
    <row r="219" spans="2:4" ht="12.75">
      <c r="B219" s="157"/>
      <c r="C219" s="157"/>
      <c r="D219" s="157"/>
    </row>
    <row r="220" spans="2:4" ht="12.75">
      <c r="B220" s="157"/>
      <c r="C220" s="157"/>
      <c r="D220" s="157"/>
    </row>
    <row r="221" spans="2:4" ht="12.75">
      <c r="B221" s="157"/>
      <c r="C221" s="157"/>
      <c r="D221" s="157"/>
    </row>
    <row r="222" spans="2:4" ht="12.75">
      <c r="B222" s="157"/>
      <c r="C222" s="157"/>
      <c r="D222" s="157"/>
    </row>
    <row r="223" spans="2:4" ht="12.75">
      <c r="B223" s="157"/>
      <c r="C223" s="157"/>
      <c r="D223" s="157"/>
    </row>
    <row r="224" spans="2:4" ht="12.75">
      <c r="B224" s="157"/>
      <c r="C224" s="157"/>
      <c r="D224" s="157"/>
    </row>
    <row r="225" spans="2:4" ht="12.75">
      <c r="B225" s="157"/>
      <c r="C225" s="157"/>
      <c r="D225" s="157"/>
    </row>
    <row r="226" spans="2:4" ht="12.75">
      <c r="B226" s="157"/>
      <c r="C226" s="157"/>
      <c r="D226" s="157"/>
    </row>
    <row r="227" spans="2:4" ht="12.75">
      <c r="B227" s="157"/>
      <c r="C227" s="157"/>
      <c r="D227" s="157"/>
    </row>
    <row r="228" spans="2:4" ht="12.75">
      <c r="B228" s="157"/>
      <c r="C228" s="157"/>
      <c r="D228" s="157"/>
    </row>
    <row r="229" spans="2:4" ht="12.75">
      <c r="B229" s="157"/>
      <c r="C229" s="157"/>
      <c r="D229" s="157"/>
    </row>
    <row r="230" spans="2:4" ht="12.75">
      <c r="B230" s="157"/>
      <c r="C230" s="157"/>
      <c r="D230" s="157"/>
    </row>
    <row r="231" spans="2:4" ht="12.75">
      <c r="B231" s="157"/>
      <c r="C231" s="157"/>
      <c r="D231" s="157"/>
    </row>
    <row r="232" spans="2:4" ht="12.75">
      <c r="B232" s="157"/>
      <c r="C232" s="157"/>
      <c r="D232" s="157"/>
    </row>
    <row r="233" spans="2:4" ht="12.75">
      <c r="B233" s="157"/>
      <c r="C233" s="157"/>
      <c r="D233" s="157"/>
    </row>
    <row r="234" spans="2:4" ht="12.75">
      <c r="B234" s="157"/>
      <c r="C234" s="157"/>
      <c r="D234" s="157"/>
    </row>
    <row r="235" spans="2:4" ht="12.75">
      <c r="B235" s="157"/>
      <c r="C235" s="157"/>
      <c r="D235" s="157"/>
    </row>
    <row r="236" spans="2:4" ht="12.75">
      <c r="B236" s="157"/>
      <c r="C236" s="157"/>
      <c r="D236" s="157"/>
    </row>
    <row r="237" spans="2:4" ht="12.75">
      <c r="B237" s="157"/>
      <c r="C237" s="157"/>
      <c r="D237" s="157"/>
    </row>
    <row r="238" spans="2:4" ht="12.75">
      <c r="B238" s="157"/>
      <c r="C238" s="157"/>
      <c r="D238" s="157"/>
    </row>
    <row r="239" spans="2:4" ht="12.75">
      <c r="B239" s="157"/>
      <c r="C239" s="157"/>
      <c r="D239" s="157"/>
    </row>
    <row r="240" spans="2:4" ht="12.75">
      <c r="B240" s="157"/>
      <c r="C240" s="157"/>
      <c r="D240" s="157"/>
    </row>
    <row r="241" spans="2:4" ht="12.75">
      <c r="B241" s="157"/>
      <c r="C241" s="157"/>
      <c r="D241" s="157"/>
    </row>
    <row r="242" spans="2:4" ht="12.75">
      <c r="B242" s="157"/>
      <c r="C242" s="157"/>
      <c r="D242" s="157"/>
    </row>
    <row r="243" spans="2:4" ht="12.75">
      <c r="B243" s="157"/>
      <c r="C243" s="157"/>
      <c r="D243" s="157"/>
    </row>
    <row r="244" spans="2:4" ht="12.75">
      <c r="B244" s="157"/>
      <c r="C244" s="157"/>
      <c r="D244" s="157"/>
    </row>
    <row r="245" spans="2:4" ht="12.75">
      <c r="B245" s="157"/>
      <c r="C245" s="157"/>
      <c r="D245" s="157"/>
    </row>
    <row r="246" spans="2:4" ht="12.75">
      <c r="B246" s="157"/>
      <c r="C246" s="157"/>
      <c r="D246" s="157"/>
    </row>
    <row r="247" spans="2:4" ht="12.75">
      <c r="B247" s="157"/>
      <c r="C247" s="157"/>
      <c r="D247" s="157"/>
    </row>
    <row r="248" spans="2:4" ht="12.75">
      <c r="B248" s="157"/>
      <c r="C248" s="157"/>
      <c r="D248" s="157"/>
    </row>
    <row r="249" spans="2:4" ht="12.75">
      <c r="B249" s="157"/>
      <c r="C249" s="157"/>
      <c r="D249" s="157"/>
    </row>
    <row r="250" spans="2:4" ht="12.75">
      <c r="B250" s="157"/>
      <c r="C250" s="157"/>
      <c r="D250" s="157"/>
    </row>
    <row r="251" spans="2:4" ht="12.75">
      <c r="B251" s="157"/>
      <c r="C251" s="157"/>
      <c r="D251" s="157"/>
    </row>
    <row r="252" spans="2:4" ht="12.75">
      <c r="B252" s="157"/>
      <c r="C252" s="157"/>
      <c r="D252" s="157"/>
    </row>
    <row r="253" spans="2:4" ht="12.75">
      <c r="B253" s="157"/>
      <c r="C253" s="157"/>
      <c r="D253" s="157"/>
    </row>
    <row r="254" spans="2:4" ht="12.75">
      <c r="B254" s="157"/>
      <c r="C254" s="157"/>
      <c r="D254" s="157"/>
    </row>
    <row r="255" spans="2:4" ht="12.75">
      <c r="B255" s="157"/>
      <c r="C255" s="157"/>
      <c r="D255" s="157"/>
    </row>
    <row r="256" spans="2:4" ht="12.75">
      <c r="B256" s="157"/>
      <c r="C256" s="157"/>
      <c r="D256" s="157"/>
    </row>
    <row r="257" spans="2:4" ht="12.75">
      <c r="B257" s="157"/>
      <c r="C257" s="157"/>
      <c r="D257" s="157"/>
    </row>
    <row r="258" spans="2:4" ht="12.75">
      <c r="B258" s="157"/>
      <c r="C258" s="157"/>
      <c r="D258" s="157"/>
    </row>
    <row r="259" spans="2:4" ht="12.75">
      <c r="B259" s="157"/>
      <c r="C259" s="157"/>
      <c r="D259" s="157"/>
    </row>
    <row r="260" spans="2:4" ht="12.75">
      <c r="B260" s="157"/>
      <c r="C260" s="157"/>
      <c r="D260" s="157"/>
    </row>
    <row r="261" spans="2:4" ht="12.75">
      <c r="B261" s="157"/>
      <c r="C261" s="157"/>
      <c r="D261" s="157"/>
    </row>
    <row r="262" spans="2:4" ht="12.75">
      <c r="B262" s="157"/>
      <c r="C262" s="157"/>
      <c r="D262" s="157"/>
    </row>
    <row r="263" spans="2:4" ht="12.75">
      <c r="B263" s="157"/>
      <c r="C263" s="157"/>
      <c r="D263" s="157"/>
    </row>
    <row r="264" spans="2:4" ht="12.75">
      <c r="B264" s="157"/>
      <c r="C264" s="157"/>
      <c r="D264" s="157"/>
    </row>
    <row r="265" spans="2:4" ht="12.75">
      <c r="B265" s="157"/>
      <c r="C265" s="157"/>
      <c r="D265" s="157"/>
    </row>
    <row r="266" spans="2:4" ht="12.75">
      <c r="B266" s="157"/>
      <c r="C266" s="157"/>
      <c r="D266" s="157"/>
    </row>
    <row r="267" spans="2:4" ht="12.75">
      <c r="B267" s="157"/>
      <c r="C267" s="157"/>
      <c r="D267" s="157"/>
    </row>
    <row r="268" spans="2:4" ht="12.75">
      <c r="B268" s="157"/>
      <c r="C268" s="157"/>
      <c r="D268" s="157"/>
    </row>
    <row r="269" spans="2:4" ht="12.75">
      <c r="B269" s="157"/>
      <c r="C269" s="157"/>
      <c r="D269" s="157"/>
    </row>
    <row r="270" spans="2:4" ht="12.75">
      <c r="B270" s="157"/>
      <c r="C270" s="157"/>
      <c r="D270" s="157"/>
    </row>
    <row r="271" spans="2:4" ht="12.75">
      <c r="B271" s="157"/>
      <c r="C271" s="157"/>
      <c r="D271" s="157"/>
    </row>
    <row r="272" spans="2:4" ht="12.75">
      <c r="B272" s="157"/>
      <c r="C272" s="157"/>
      <c r="D272" s="157"/>
    </row>
    <row r="273" spans="2:4" ht="12.75">
      <c r="B273" s="157"/>
      <c r="C273" s="157"/>
      <c r="D273" s="157"/>
    </row>
    <row r="274" spans="2:4" ht="12.75">
      <c r="B274" s="157"/>
      <c r="C274" s="157"/>
      <c r="D274" s="157"/>
    </row>
    <row r="275" spans="2:4" ht="12.75">
      <c r="B275" s="157"/>
      <c r="C275" s="157"/>
      <c r="D275" s="157"/>
    </row>
    <row r="276" spans="2:4" ht="12.75">
      <c r="B276" s="157"/>
      <c r="C276" s="157"/>
      <c r="D276" s="157"/>
    </row>
    <row r="277" spans="2:4" ht="12.75">
      <c r="B277" s="157"/>
      <c r="C277" s="157"/>
      <c r="D277" s="157"/>
    </row>
    <row r="278" spans="2:4" ht="12.75">
      <c r="B278" s="157"/>
      <c r="C278" s="157"/>
      <c r="D278" s="157"/>
    </row>
    <row r="279" spans="2:4" ht="12.75">
      <c r="B279" s="157"/>
      <c r="C279" s="157"/>
      <c r="D279" s="157"/>
    </row>
    <row r="280" spans="2:4" ht="12.75">
      <c r="B280" s="157"/>
      <c r="C280" s="157"/>
      <c r="D280" s="157"/>
    </row>
    <row r="281" spans="2:4" ht="12.75">
      <c r="B281" s="157"/>
      <c r="C281" s="157"/>
      <c r="D281" s="157"/>
    </row>
    <row r="282" spans="2:4" ht="12.75">
      <c r="B282" s="157"/>
      <c r="C282" s="157"/>
      <c r="D282" s="157"/>
    </row>
    <row r="283" spans="2:4" ht="12.75">
      <c r="B283" s="157"/>
      <c r="C283" s="157"/>
      <c r="D283" s="157"/>
    </row>
    <row r="284" spans="2:4" ht="12.75">
      <c r="B284" s="157"/>
      <c r="C284" s="157"/>
      <c r="D284" s="157"/>
    </row>
    <row r="285" spans="2:4" ht="12.75">
      <c r="B285" s="157"/>
      <c r="C285" s="157"/>
      <c r="D285" s="157"/>
    </row>
    <row r="286" spans="2:4" ht="12.75">
      <c r="B286" s="157"/>
      <c r="C286" s="157"/>
      <c r="D286" s="157"/>
    </row>
  </sheetData>
  <sheetProtection/>
  <printOptions/>
  <pageMargins left="0.75" right="0.75" top="1" bottom="1" header="0.5" footer="0.5"/>
  <pageSetup firstPageNumber="16" useFirstPageNumber="1" horizontalDpi="360" verticalDpi="360" orientation="portrait" paperSize="9" scale="92" r:id="rId2"/>
  <headerFooter alignWithMargins="0">
    <oddFooter>&amp;C&amp;"Comic Sans MS,Regular"&amp;9HAL. A-&amp;P&amp;R&amp;"Arial Narrow,Italic"&amp;8GEDUNG DAKWAH MUHAMMADIYAH
KABUPATEN GRESIK
ALCO - TS/21JAN2008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B5:K141"/>
  <sheetViews>
    <sheetView showGridLines="0" zoomScalePageLayoutView="0" workbookViewId="0" topLeftCell="A1">
      <selection activeCell="L92" sqref="L92"/>
    </sheetView>
  </sheetViews>
  <sheetFormatPr defaultColWidth="9.140625" defaultRowHeight="12.75"/>
  <cols>
    <col min="1" max="1" width="2.28125" style="0" customWidth="1"/>
    <col min="2" max="2" width="18.7109375" style="0" customWidth="1"/>
    <col min="3" max="10" width="10.7109375" style="0" customWidth="1"/>
    <col min="11" max="11" width="12.8515625" style="0" customWidth="1"/>
  </cols>
  <sheetData>
    <row r="5" spans="2:10" ht="23.25">
      <c r="B5" s="377" t="str">
        <f>"DIAGRAM INTERAKSI KOLOM ("&amp;IF(G8=1,F8/10&amp;"/"&amp;F9/10&amp;")","D"&amp;F8*0.1&amp;")")</f>
        <v>DIAGRAM INTERAKSI KOLOM (30/30)</v>
      </c>
      <c r="C5" s="377"/>
      <c r="D5" s="377"/>
      <c r="E5" s="377"/>
      <c r="F5" s="377"/>
      <c r="G5" s="377"/>
      <c r="H5" s="377"/>
      <c r="I5" s="377"/>
      <c r="J5" s="377"/>
    </row>
    <row r="8" spans="3:7" ht="12.75">
      <c r="C8" s="23" t="s">
        <v>459</v>
      </c>
      <c r="D8" s="286">
        <v>20</v>
      </c>
      <c r="E8" s="23" t="str">
        <f>IF(G8=1,"b (mm)","D(mm)")</f>
        <v>b (mm)</v>
      </c>
      <c r="F8" s="286">
        <v>300</v>
      </c>
      <c r="G8" s="287">
        <v>1</v>
      </c>
    </row>
    <row r="9" spans="3:6" ht="12.75">
      <c r="C9" s="23" t="s">
        <v>460</v>
      </c>
      <c r="D9" s="286">
        <v>320</v>
      </c>
      <c r="E9" s="23" t="str">
        <f>IF(G8=1,"h (mm)","D(mm)")</f>
        <v>h (mm)</v>
      </c>
      <c r="F9" s="286">
        <v>300</v>
      </c>
    </row>
    <row r="11" spans="2:11" ht="14.25">
      <c r="B11" s="288" t="s">
        <v>461</v>
      </c>
      <c r="C11" s="289"/>
      <c r="D11" s="290"/>
      <c r="E11" s="291"/>
      <c r="F11" s="291"/>
      <c r="G11" s="291"/>
      <c r="H11" s="291"/>
      <c r="I11" s="291"/>
      <c r="J11" s="289"/>
      <c r="K11" s="67"/>
    </row>
    <row r="12" spans="2:11" ht="12.75">
      <c r="B12" s="291"/>
      <c r="C12" s="291"/>
      <c r="D12" s="291"/>
      <c r="E12" s="291"/>
      <c r="F12" s="291"/>
      <c r="G12" s="291"/>
      <c r="H12" s="291"/>
      <c r="I12" s="291"/>
      <c r="J12" s="291"/>
      <c r="K12" s="7"/>
    </row>
    <row r="13" spans="2:11" ht="12.75">
      <c r="B13" s="292" t="s">
        <v>462</v>
      </c>
      <c r="C13" s="67">
        <v>0.01</v>
      </c>
      <c r="D13" s="67">
        <v>0.02</v>
      </c>
      <c r="E13" s="67">
        <v>0.03</v>
      </c>
      <c r="F13" s="67">
        <v>0.04</v>
      </c>
      <c r="G13" s="293">
        <v>0.05</v>
      </c>
      <c r="H13" s="294">
        <v>0.06</v>
      </c>
      <c r="I13" s="294">
        <v>0.07</v>
      </c>
      <c r="J13" s="295">
        <v>0.08</v>
      </c>
      <c r="K13" s="7"/>
    </row>
    <row r="14" spans="2:11" ht="12.75" hidden="1">
      <c r="B14" s="296" t="s">
        <v>463</v>
      </c>
      <c r="C14" s="38">
        <f>D9</f>
        <v>320</v>
      </c>
      <c r="D14" s="38">
        <f aca="true" t="shared" si="0" ref="D14:J17">C14</f>
        <v>320</v>
      </c>
      <c r="E14" s="38">
        <f t="shared" si="0"/>
        <v>320</v>
      </c>
      <c r="F14" s="38">
        <f t="shared" si="0"/>
        <v>320</v>
      </c>
      <c r="G14" s="38">
        <f t="shared" si="0"/>
        <v>320</v>
      </c>
      <c r="H14" s="38">
        <f t="shared" si="0"/>
        <v>320</v>
      </c>
      <c r="I14" s="38">
        <f t="shared" si="0"/>
        <v>320</v>
      </c>
      <c r="J14" s="297">
        <f t="shared" si="0"/>
        <v>320</v>
      </c>
      <c r="K14" s="7"/>
    </row>
    <row r="15" spans="2:11" ht="12.75" hidden="1">
      <c r="B15" s="296" t="s">
        <v>464</v>
      </c>
      <c r="C15" s="38">
        <f>D8</f>
        <v>20</v>
      </c>
      <c r="D15" s="38">
        <f t="shared" si="0"/>
        <v>20</v>
      </c>
      <c r="E15" s="38">
        <f t="shared" si="0"/>
        <v>20</v>
      </c>
      <c r="F15" s="38">
        <f t="shared" si="0"/>
        <v>20</v>
      </c>
      <c r="G15" s="38">
        <f t="shared" si="0"/>
        <v>20</v>
      </c>
      <c r="H15" s="38">
        <f t="shared" si="0"/>
        <v>20</v>
      </c>
      <c r="I15" s="38">
        <f t="shared" si="0"/>
        <v>20</v>
      </c>
      <c r="J15" s="297">
        <f t="shared" si="0"/>
        <v>20</v>
      </c>
      <c r="K15" s="7"/>
    </row>
    <row r="16" spans="2:11" ht="12.75" hidden="1">
      <c r="B16" s="296" t="s">
        <v>465</v>
      </c>
      <c r="C16" s="38">
        <f>F8</f>
        <v>300</v>
      </c>
      <c r="D16" s="38">
        <f t="shared" si="0"/>
        <v>300</v>
      </c>
      <c r="E16" s="38">
        <f t="shared" si="0"/>
        <v>300</v>
      </c>
      <c r="F16" s="38">
        <f t="shared" si="0"/>
        <v>300</v>
      </c>
      <c r="G16" s="38">
        <f t="shared" si="0"/>
        <v>300</v>
      </c>
      <c r="H16" s="38">
        <f t="shared" si="0"/>
        <v>300</v>
      </c>
      <c r="I16" s="38">
        <f t="shared" si="0"/>
        <v>300</v>
      </c>
      <c r="J16" s="297">
        <f t="shared" si="0"/>
        <v>300</v>
      </c>
      <c r="K16" s="7"/>
    </row>
    <row r="17" spans="2:11" ht="12.75" hidden="1">
      <c r="B17" s="296" t="s">
        <v>466</v>
      </c>
      <c r="C17" s="38">
        <f>F9</f>
        <v>300</v>
      </c>
      <c r="D17" s="38">
        <f t="shared" si="0"/>
        <v>300</v>
      </c>
      <c r="E17" s="38">
        <f t="shared" si="0"/>
        <v>300</v>
      </c>
      <c r="F17" s="38">
        <f t="shared" si="0"/>
        <v>300</v>
      </c>
      <c r="G17" s="38">
        <f t="shared" si="0"/>
        <v>300</v>
      </c>
      <c r="H17" s="38">
        <f t="shared" si="0"/>
        <v>300</v>
      </c>
      <c r="I17" s="38">
        <f t="shared" si="0"/>
        <v>300</v>
      </c>
      <c r="J17" s="297">
        <f t="shared" si="0"/>
        <v>300</v>
      </c>
      <c r="K17" s="7"/>
    </row>
    <row r="18" spans="2:11" ht="12.75" hidden="1">
      <c r="B18" s="296" t="s">
        <v>467</v>
      </c>
      <c r="C18" s="38">
        <f aca="true" t="shared" si="1" ref="C18:J18">IF($G$8=1,C16*C17,0.25*PI()*C16*C16)</f>
        <v>90000</v>
      </c>
      <c r="D18" s="38">
        <f t="shared" si="1"/>
        <v>90000</v>
      </c>
      <c r="E18" s="38">
        <f t="shared" si="1"/>
        <v>90000</v>
      </c>
      <c r="F18" s="38">
        <f t="shared" si="1"/>
        <v>90000</v>
      </c>
      <c r="G18" s="38">
        <f t="shared" si="1"/>
        <v>90000</v>
      </c>
      <c r="H18" s="38">
        <f t="shared" si="1"/>
        <v>90000</v>
      </c>
      <c r="I18" s="38">
        <f t="shared" si="1"/>
        <v>90000</v>
      </c>
      <c r="J18" s="38">
        <f t="shared" si="1"/>
        <v>90000</v>
      </c>
      <c r="K18" s="7"/>
    </row>
    <row r="19" spans="2:11" ht="12.75" hidden="1">
      <c r="B19" s="296" t="s">
        <v>468</v>
      </c>
      <c r="C19" s="38">
        <f aca="true" t="shared" si="2" ref="C19:J19">C13*C18</f>
        <v>900</v>
      </c>
      <c r="D19" s="38">
        <f t="shared" si="2"/>
        <v>1800</v>
      </c>
      <c r="E19" s="38">
        <f t="shared" si="2"/>
        <v>2700</v>
      </c>
      <c r="F19" s="38">
        <f t="shared" si="2"/>
        <v>3600</v>
      </c>
      <c r="G19" s="38">
        <f t="shared" si="2"/>
        <v>4500</v>
      </c>
      <c r="H19" s="298">
        <f t="shared" si="2"/>
        <v>5400</v>
      </c>
      <c r="I19" s="298">
        <f t="shared" si="2"/>
        <v>6300.000000000001</v>
      </c>
      <c r="J19" s="299">
        <f t="shared" si="2"/>
        <v>7200</v>
      </c>
      <c r="K19" s="7"/>
    </row>
    <row r="20" spans="2:11" ht="12.75" hidden="1">
      <c r="B20" s="300" t="s">
        <v>469</v>
      </c>
      <c r="C20" s="38">
        <f aca="true" t="shared" si="3" ref="C20:J20">200000</f>
        <v>200000</v>
      </c>
      <c r="D20" s="38">
        <f t="shared" si="3"/>
        <v>200000</v>
      </c>
      <c r="E20" s="38">
        <f t="shared" si="3"/>
        <v>200000</v>
      </c>
      <c r="F20" s="38">
        <f t="shared" si="3"/>
        <v>200000</v>
      </c>
      <c r="G20" s="38">
        <f t="shared" si="3"/>
        <v>200000</v>
      </c>
      <c r="H20" s="38">
        <f t="shared" si="3"/>
        <v>200000</v>
      </c>
      <c r="I20" s="38">
        <f t="shared" si="3"/>
        <v>200000</v>
      </c>
      <c r="J20" s="297">
        <f t="shared" si="3"/>
        <v>200000</v>
      </c>
      <c r="K20" s="7"/>
    </row>
    <row r="21" spans="2:11" ht="12.75" hidden="1">
      <c r="B21" s="300" t="s">
        <v>248</v>
      </c>
      <c r="C21" s="38">
        <f aca="true" t="shared" si="4" ref="C21:J21">40+(19/2)</f>
        <v>49.5</v>
      </c>
      <c r="D21" s="38">
        <f t="shared" si="4"/>
        <v>49.5</v>
      </c>
      <c r="E21" s="38">
        <f t="shared" si="4"/>
        <v>49.5</v>
      </c>
      <c r="F21" s="38">
        <f t="shared" si="4"/>
        <v>49.5</v>
      </c>
      <c r="G21" s="38">
        <f t="shared" si="4"/>
        <v>49.5</v>
      </c>
      <c r="H21" s="38">
        <f t="shared" si="4"/>
        <v>49.5</v>
      </c>
      <c r="I21" s="38">
        <f t="shared" si="4"/>
        <v>49.5</v>
      </c>
      <c r="J21" s="297">
        <f t="shared" si="4"/>
        <v>49.5</v>
      </c>
      <c r="K21" s="7"/>
    </row>
    <row r="22" spans="2:11" ht="12.75" hidden="1">
      <c r="B22" s="300" t="s">
        <v>470</v>
      </c>
      <c r="C22" s="38">
        <f aca="true" t="shared" si="5" ref="C22:J22">0.5*C19</f>
        <v>450</v>
      </c>
      <c r="D22" s="38">
        <f t="shared" si="5"/>
        <v>900</v>
      </c>
      <c r="E22" s="38">
        <f t="shared" si="5"/>
        <v>1350</v>
      </c>
      <c r="F22" s="38">
        <f t="shared" si="5"/>
        <v>1800</v>
      </c>
      <c r="G22" s="38">
        <f t="shared" si="5"/>
        <v>2250</v>
      </c>
      <c r="H22" s="38">
        <f t="shared" si="5"/>
        <v>2700</v>
      </c>
      <c r="I22" s="38">
        <f t="shared" si="5"/>
        <v>3150.0000000000005</v>
      </c>
      <c r="J22" s="297">
        <f t="shared" si="5"/>
        <v>3600</v>
      </c>
      <c r="K22" s="7"/>
    </row>
    <row r="23" spans="2:11" ht="12.75" hidden="1">
      <c r="B23" s="300" t="s">
        <v>471</v>
      </c>
      <c r="C23" s="38">
        <f aca="true" t="shared" si="6" ref="C23:J23">C19-C22</f>
        <v>450</v>
      </c>
      <c r="D23" s="38">
        <f t="shared" si="6"/>
        <v>900</v>
      </c>
      <c r="E23" s="38">
        <f t="shared" si="6"/>
        <v>1350</v>
      </c>
      <c r="F23" s="38">
        <f t="shared" si="6"/>
        <v>1800</v>
      </c>
      <c r="G23" s="38">
        <f t="shared" si="6"/>
        <v>2250</v>
      </c>
      <c r="H23" s="38">
        <f t="shared" si="6"/>
        <v>2700</v>
      </c>
      <c r="I23" s="38">
        <f t="shared" si="6"/>
        <v>3150.0000000000005</v>
      </c>
      <c r="J23" s="297">
        <f t="shared" si="6"/>
        <v>3600</v>
      </c>
      <c r="K23" s="7"/>
    </row>
    <row r="24" spans="2:11" ht="12.75" hidden="1">
      <c r="B24" s="292" t="s">
        <v>472</v>
      </c>
      <c r="C24" s="67"/>
      <c r="D24" s="67"/>
      <c r="E24" s="67"/>
      <c r="F24" s="67"/>
      <c r="G24" s="67"/>
      <c r="H24" s="67"/>
      <c r="I24" s="67"/>
      <c r="J24" s="301"/>
      <c r="K24" s="7"/>
    </row>
    <row r="25" spans="2:11" ht="12.75" hidden="1">
      <c r="B25" s="296" t="s">
        <v>473</v>
      </c>
      <c r="C25" s="38">
        <f aca="true" t="shared" si="7" ref="C25:J25">((0.85*C15*(C18-C19))+(C19*C14))/1000</f>
        <v>1802.7</v>
      </c>
      <c r="D25" s="38">
        <f t="shared" si="7"/>
        <v>2075.4</v>
      </c>
      <c r="E25" s="38">
        <f t="shared" si="7"/>
        <v>2348.1</v>
      </c>
      <c r="F25" s="38">
        <f t="shared" si="7"/>
        <v>2620.8</v>
      </c>
      <c r="G25" s="38">
        <f t="shared" si="7"/>
        <v>2893.5</v>
      </c>
      <c r="H25" s="38">
        <f t="shared" si="7"/>
        <v>3166.2</v>
      </c>
      <c r="I25" s="38">
        <f t="shared" si="7"/>
        <v>3438.9</v>
      </c>
      <c r="J25" s="297">
        <f t="shared" si="7"/>
        <v>3711.6</v>
      </c>
      <c r="K25" s="7"/>
    </row>
    <row r="26" spans="2:11" ht="12.75" hidden="1">
      <c r="B26" s="296" t="s">
        <v>474</v>
      </c>
      <c r="C26" s="38">
        <f aca="true" t="shared" si="8" ref="C26:J26">0.8*C25</f>
        <v>1442.16</v>
      </c>
      <c r="D26" s="38">
        <f t="shared" si="8"/>
        <v>1660.3200000000002</v>
      </c>
      <c r="E26" s="38">
        <f t="shared" si="8"/>
        <v>1878.48</v>
      </c>
      <c r="F26" s="38">
        <f t="shared" si="8"/>
        <v>2096.6400000000003</v>
      </c>
      <c r="G26" s="38">
        <f t="shared" si="8"/>
        <v>2314.8</v>
      </c>
      <c r="H26" s="38">
        <f t="shared" si="8"/>
        <v>2532.96</v>
      </c>
      <c r="I26" s="38">
        <f t="shared" si="8"/>
        <v>2751.1200000000003</v>
      </c>
      <c r="J26" s="297">
        <f t="shared" si="8"/>
        <v>2969.28</v>
      </c>
      <c r="K26" s="7"/>
    </row>
    <row r="27" spans="2:11" ht="12.75" hidden="1">
      <c r="B27" s="292" t="s">
        <v>475</v>
      </c>
      <c r="C27" s="67"/>
      <c r="D27" s="67"/>
      <c r="E27" s="67"/>
      <c r="F27" s="67"/>
      <c r="G27" s="67"/>
      <c r="H27" s="67"/>
      <c r="I27" s="67"/>
      <c r="J27" s="301"/>
      <c r="K27" s="7"/>
    </row>
    <row r="28" spans="2:11" ht="12.75" hidden="1">
      <c r="B28" s="296" t="s">
        <v>476</v>
      </c>
      <c r="C28" s="38">
        <f aca="true" t="shared" si="9" ref="C28:J28">C14/C20</f>
        <v>0.0016</v>
      </c>
      <c r="D28" s="38">
        <f t="shared" si="9"/>
        <v>0.0016</v>
      </c>
      <c r="E28" s="38">
        <f t="shared" si="9"/>
        <v>0.0016</v>
      </c>
      <c r="F28" s="38">
        <f t="shared" si="9"/>
        <v>0.0016</v>
      </c>
      <c r="G28" s="38">
        <f t="shared" si="9"/>
        <v>0.0016</v>
      </c>
      <c r="H28" s="38">
        <f t="shared" si="9"/>
        <v>0.0016</v>
      </c>
      <c r="I28" s="38">
        <f t="shared" si="9"/>
        <v>0.0016</v>
      </c>
      <c r="J28" s="297">
        <f t="shared" si="9"/>
        <v>0.0016</v>
      </c>
      <c r="K28" s="7"/>
    </row>
    <row r="29" spans="2:11" ht="12.75" hidden="1">
      <c r="B29" s="300" t="s">
        <v>477</v>
      </c>
      <c r="C29" s="38">
        <f aca="true" t="shared" si="10" ref="C29:J29">600*(C17-C21)/(C14+600)</f>
        <v>163.3695652173913</v>
      </c>
      <c r="D29" s="38">
        <f t="shared" si="10"/>
        <v>163.3695652173913</v>
      </c>
      <c r="E29" s="38">
        <f t="shared" si="10"/>
        <v>163.3695652173913</v>
      </c>
      <c r="F29" s="38">
        <f t="shared" si="10"/>
        <v>163.3695652173913</v>
      </c>
      <c r="G29" s="38">
        <f t="shared" si="10"/>
        <v>163.3695652173913</v>
      </c>
      <c r="H29" s="38">
        <f t="shared" si="10"/>
        <v>163.3695652173913</v>
      </c>
      <c r="I29" s="38">
        <f t="shared" si="10"/>
        <v>163.3695652173913</v>
      </c>
      <c r="J29" s="297">
        <f t="shared" si="10"/>
        <v>163.3695652173913</v>
      </c>
      <c r="K29" s="7"/>
    </row>
    <row r="30" spans="2:11" ht="12.75" hidden="1">
      <c r="B30" s="300" t="s">
        <v>478</v>
      </c>
      <c r="C30" s="38">
        <f aca="true" t="shared" si="11" ref="C30:J30">0.85*C29</f>
        <v>138.86413043478262</v>
      </c>
      <c r="D30" s="38">
        <f t="shared" si="11"/>
        <v>138.86413043478262</v>
      </c>
      <c r="E30" s="38">
        <f t="shared" si="11"/>
        <v>138.86413043478262</v>
      </c>
      <c r="F30" s="38">
        <f t="shared" si="11"/>
        <v>138.86413043478262</v>
      </c>
      <c r="G30" s="38">
        <f t="shared" si="11"/>
        <v>138.86413043478262</v>
      </c>
      <c r="H30" s="38">
        <f t="shared" si="11"/>
        <v>138.86413043478262</v>
      </c>
      <c r="I30" s="38">
        <f t="shared" si="11"/>
        <v>138.86413043478262</v>
      </c>
      <c r="J30" s="297">
        <f t="shared" si="11"/>
        <v>138.86413043478262</v>
      </c>
      <c r="K30" s="7"/>
    </row>
    <row r="31" spans="2:11" ht="12.75" hidden="1">
      <c r="B31" s="292" t="s">
        <v>479</v>
      </c>
      <c r="C31" s="38"/>
      <c r="D31" s="38"/>
      <c r="E31" s="38"/>
      <c r="F31" s="38"/>
      <c r="G31" s="38"/>
      <c r="H31" s="38"/>
      <c r="I31" s="38"/>
      <c r="J31" s="297"/>
      <c r="K31" s="7"/>
    </row>
    <row r="32" spans="2:11" ht="12.75" hidden="1">
      <c r="B32" s="296" t="s">
        <v>480</v>
      </c>
      <c r="C32" s="38">
        <f aca="true" t="shared" si="12" ref="C32:J32">(C29-C21)*0.003/C29</f>
        <v>0.0020910179640718563</v>
      </c>
      <c r="D32" s="38">
        <f t="shared" si="12"/>
        <v>0.0020910179640718563</v>
      </c>
      <c r="E32" s="38">
        <f t="shared" si="12"/>
        <v>0.0020910179640718563</v>
      </c>
      <c r="F32" s="38">
        <f t="shared" si="12"/>
        <v>0.0020910179640718563</v>
      </c>
      <c r="G32" s="38">
        <f t="shared" si="12"/>
        <v>0.0020910179640718563</v>
      </c>
      <c r="H32" s="38">
        <f t="shared" si="12"/>
        <v>0.0020910179640718563</v>
      </c>
      <c r="I32" s="38">
        <f t="shared" si="12"/>
        <v>0.0020910179640718563</v>
      </c>
      <c r="J32" s="297">
        <f t="shared" si="12"/>
        <v>0.0020910179640718563</v>
      </c>
      <c r="K32" s="7"/>
    </row>
    <row r="33" spans="2:11" ht="12.75" hidden="1">
      <c r="B33" s="292" t="s">
        <v>481</v>
      </c>
      <c r="C33" s="38"/>
      <c r="D33" s="38"/>
      <c r="E33" s="38"/>
      <c r="F33" s="38"/>
      <c r="G33" s="38"/>
      <c r="H33" s="38"/>
      <c r="I33" s="38"/>
      <c r="J33" s="297"/>
      <c r="K33" s="7"/>
    </row>
    <row r="34" spans="2:11" ht="12.75" hidden="1">
      <c r="B34" s="296" t="s">
        <v>482</v>
      </c>
      <c r="C34" s="38">
        <f aca="true" t="shared" si="13" ref="C34:J34">((0.85*C15*C30*C16)+(C22*(C14-(0.85*C15)))-(C23*C14))/1000</f>
        <v>700.5570652173914</v>
      </c>
      <c r="D34" s="38">
        <f t="shared" si="13"/>
        <v>692.9070652173914</v>
      </c>
      <c r="E34" s="38">
        <f t="shared" si="13"/>
        <v>685.2570652173913</v>
      </c>
      <c r="F34" s="38">
        <f t="shared" si="13"/>
        <v>677.6070652173913</v>
      </c>
      <c r="G34" s="38">
        <f t="shared" si="13"/>
        <v>669.9570652173913</v>
      </c>
      <c r="H34" s="38">
        <f t="shared" si="13"/>
        <v>662.3070652173914</v>
      </c>
      <c r="I34" s="38">
        <f t="shared" si="13"/>
        <v>654.6570652173915</v>
      </c>
      <c r="J34" s="297">
        <f t="shared" si="13"/>
        <v>647.0070652173913</v>
      </c>
      <c r="K34" s="7"/>
    </row>
    <row r="35" spans="2:11" ht="12.75" hidden="1">
      <c r="B35" s="296" t="s">
        <v>483</v>
      </c>
      <c r="C35" s="38"/>
      <c r="D35" s="38"/>
      <c r="E35" s="38"/>
      <c r="F35" s="38"/>
      <c r="G35" s="38"/>
      <c r="H35" s="38"/>
      <c r="I35" s="38"/>
      <c r="J35" s="297"/>
      <c r="K35" s="7"/>
    </row>
    <row r="36" spans="2:11" ht="12.75" hidden="1">
      <c r="B36" s="296" t="s">
        <v>89</v>
      </c>
      <c r="C36" s="38">
        <f aca="true" t="shared" si="14" ref="C36:J36">C23*C14*(C16-(C21*2))/2</f>
        <v>14472000</v>
      </c>
      <c r="D36" s="38">
        <f t="shared" si="14"/>
        <v>28944000</v>
      </c>
      <c r="E36" s="38">
        <f t="shared" si="14"/>
        <v>43416000</v>
      </c>
      <c r="F36" s="38">
        <f t="shared" si="14"/>
        <v>57888000</v>
      </c>
      <c r="G36" s="38">
        <f t="shared" si="14"/>
        <v>72360000</v>
      </c>
      <c r="H36" s="38">
        <f t="shared" si="14"/>
        <v>86832000</v>
      </c>
      <c r="I36" s="38">
        <f t="shared" si="14"/>
        <v>101304000.00000001</v>
      </c>
      <c r="J36" s="297">
        <f t="shared" si="14"/>
        <v>115776000</v>
      </c>
      <c r="K36" s="7"/>
    </row>
    <row r="37" spans="2:11" ht="12.75" hidden="1">
      <c r="B37" s="296" t="s">
        <v>484</v>
      </c>
      <c r="C37" s="38">
        <f aca="true" t="shared" si="15" ref="C37:J37">C22*(C14-(0.85*C15))*(C16-(C21*2))/2</f>
        <v>13703175</v>
      </c>
      <c r="D37" s="38">
        <f t="shared" si="15"/>
        <v>27406350</v>
      </c>
      <c r="E37" s="38">
        <f t="shared" si="15"/>
        <v>41109525</v>
      </c>
      <c r="F37" s="38">
        <f t="shared" si="15"/>
        <v>54812700</v>
      </c>
      <c r="G37" s="38">
        <f t="shared" si="15"/>
        <v>68515875</v>
      </c>
      <c r="H37" s="38">
        <f t="shared" si="15"/>
        <v>82219050</v>
      </c>
      <c r="I37" s="38">
        <f t="shared" si="15"/>
        <v>95922225.00000001</v>
      </c>
      <c r="J37" s="297">
        <f t="shared" si="15"/>
        <v>109625400</v>
      </c>
      <c r="K37" s="7"/>
    </row>
    <row r="38" spans="2:11" ht="12.75" hidden="1">
      <c r="B38" s="296" t="s">
        <v>485</v>
      </c>
      <c r="C38" s="38">
        <f aca="true" t="shared" si="16" ref="C38:J38">0.85*C15*C30*C16*((C16/2)-(C30/2))</f>
        <v>57058780.643017486</v>
      </c>
      <c r="D38" s="38">
        <f t="shared" si="16"/>
        <v>57058780.643017486</v>
      </c>
      <c r="E38" s="38">
        <f t="shared" si="16"/>
        <v>57058780.643017486</v>
      </c>
      <c r="F38" s="38">
        <f t="shared" si="16"/>
        <v>57058780.643017486</v>
      </c>
      <c r="G38" s="38">
        <f t="shared" si="16"/>
        <v>57058780.643017486</v>
      </c>
      <c r="H38" s="38">
        <f t="shared" si="16"/>
        <v>57058780.643017486</v>
      </c>
      <c r="I38" s="38">
        <f t="shared" si="16"/>
        <v>57058780.643017486</v>
      </c>
      <c r="J38" s="297">
        <f t="shared" si="16"/>
        <v>57058780.643017486</v>
      </c>
      <c r="K38" s="7"/>
    </row>
    <row r="39" spans="2:11" ht="12.75" hidden="1">
      <c r="B39" s="296"/>
      <c r="C39" s="38"/>
      <c r="D39" s="38"/>
      <c r="E39" s="38"/>
      <c r="F39" s="38"/>
      <c r="G39" s="38"/>
      <c r="H39" s="38"/>
      <c r="I39" s="38"/>
      <c r="J39" s="297"/>
      <c r="K39" s="7"/>
    </row>
    <row r="40" spans="2:11" ht="12.75" hidden="1">
      <c r="B40" s="296" t="s">
        <v>486</v>
      </c>
      <c r="C40" s="38">
        <f aca="true" t="shared" si="17" ref="C40:J40">(C36+C37+C38)/1000000</f>
        <v>85.23395564301748</v>
      </c>
      <c r="D40" s="38">
        <f t="shared" si="17"/>
        <v>113.40913064301749</v>
      </c>
      <c r="E40" s="38">
        <f t="shared" si="17"/>
        <v>141.58430564301747</v>
      </c>
      <c r="F40" s="38">
        <f t="shared" si="17"/>
        <v>169.75948064301747</v>
      </c>
      <c r="G40" s="38">
        <f t="shared" si="17"/>
        <v>197.93465564301746</v>
      </c>
      <c r="H40" s="38">
        <f t="shared" si="17"/>
        <v>226.10983064301746</v>
      </c>
      <c r="I40" s="38">
        <f t="shared" si="17"/>
        <v>254.28500564301754</v>
      </c>
      <c r="J40" s="297">
        <f t="shared" si="17"/>
        <v>282.46018064301745</v>
      </c>
      <c r="K40" s="7"/>
    </row>
    <row r="41" spans="2:11" ht="12.75" hidden="1">
      <c r="B41" s="296"/>
      <c r="C41" s="38"/>
      <c r="D41" s="38"/>
      <c r="E41" s="38"/>
      <c r="F41" s="38"/>
      <c r="G41" s="38"/>
      <c r="H41" s="38"/>
      <c r="I41" s="38"/>
      <c r="J41" s="297"/>
      <c r="K41" s="7"/>
    </row>
    <row r="42" spans="2:11" ht="12.75" hidden="1">
      <c r="B42" s="296" t="s">
        <v>487</v>
      </c>
      <c r="C42" s="38">
        <f aca="true" t="shared" si="18" ref="C42:J42">C40/C34*1000</f>
        <v>121.66597108911942</v>
      </c>
      <c r="D42" s="38">
        <f t="shared" si="18"/>
        <v>163.67148833651555</v>
      </c>
      <c r="E42" s="38">
        <f t="shared" si="18"/>
        <v>206.61487904265707</v>
      </c>
      <c r="F42" s="38">
        <f t="shared" si="18"/>
        <v>250.5279082185409</v>
      </c>
      <c r="G42" s="38">
        <f t="shared" si="18"/>
        <v>295.4437917283409</v>
      </c>
      <c r="H42" s="38">
        <f t="shared" si="18"/>
        <v>341.39728008004965</v>
      </c>
      <c r="I42" s="38">
        <f t="shared" si="18"/>
        <v>388.4247480909372</v>
      </c>
      <c r="J42" s="297">
        <f t="shared" si="18"/>
        <v>436.56429091406005</v>
      </c>
      <c r="K42" s="7"/>
    </row>
    <row r="43" spans="2:11" ht="12.75" hidden="1">
      <c r="B43" s="292" t="s">
        <v>488</v>
      </c>
      <c r="C43" s="38"/>
      <c r="D43" s="38"/>
      <c r="E43" s="38"/>
      <c r="F43" s="38"/>
      <c r="G43" s="38"/>
      <c r="H43" s="38"/>
      <c r="I43" s="38"/>
      <c r="J43" s="297"/>
      <c r="K43" s="7"/>
    </row>
    <row r="44" spans="2:11" ht="12.75" hidden="1">
      <c r="B44" s="296" t="s">
        <v>489</v>
      </c>
      <c r="C44" s="38"/>
      <c r="D44" s="38"/>
      <c r="E44" s="38"/>
      <c r="F44" s="38"/>
      <c r="G44" s="38"/>
      <c r="H44" s="38"/>
      <c r="I44" s="38"/>
      <c r="J44" s="297"/>
      <c r="K44" s="7"/>
    </row>
    <row r="45" spans="2:11" ht="12.75" hidden="1">
      <c r="B45" s="296" t="s">
        <v>490</v>
      </c>
      <c r="C45" s="38" t="s">
        <v>491</v>
      </c>
      <c r="D45" s="38" t="s">
        <v>491</v>
      </c>
      <c r="E45" s="38" t="s">
        <v>491</v>
      </c>
      <c r="F45" s="38" t="s">
        <v>491</v>
      </c>
      <c r="G45" s="38" t="s">
        <v>491</v>
      </c>
      <c r="H45" s="38" t="s">
        <v>491</v>
      </c>
      <c r="I45" s="38" t="s">
        <v>491</v>
      </c>
      <c r="J45" s="297" t="s">
        <v>491</v>
      </c>
      <c r="K45" s="7"/>
    </row>
    <row r="46" spans="2:11" ht="12.75" hidden="1">
      <c r="B46" s="296" t="s">
        <v>492</v>
      </c>
      <c r="C46" s="38" t="s">
        <v>493</v>
      </c>
      <c r="D46" s="38" t="s">
        <v>493</v>
      </c>
      <c r="E46" s="38" t="s">
        <v>493</v>
      </c>
      <c r="F46" s="38" t="s">
        <v>493</v>
      </c>
      <c r="G46" s="38" t="s">
        <v>493</v>
      </c>
      <c r="H46" s="38" t="s">
        <v>493</v>
      </c>
      <c r="I46" s="38" t="s">
        <v>493</v>
      </c>
      <c r="J46" s="297" t="s">
        <v>493</v>
      </c>
      <c r="K46" s="7"/>
    </row>
    <row r="47" spans="2:11" ht="12.75" hidden="1">
      <c r="B47" s="292" t="s">
        <v>481</v>
      </c>
      <c r="C47" s="38"/>
      <c r="D47" s="38"/>
      <c r="E47" s="38"/>
      <c r="F47" s="38"/>
      <c r="G47" s="38"/>
      <c r="H47" s="38"/>
      <c r="I47" s="38"/>
      <c r="J47" s="297"/>
      <c r="K47" s="7"/>
    </row>
    <row r="48" spans="2:11" ht="12.75" hidden="1">
      <c r="B48" s="296" t="s">
        <v>494</v>
      </c>
      <c r="C48" s="38">
        <f aca="true" t="shared" si="19" ref="C48:J48">0.85*C15*0.85*C16</f>
        <v>4335</v>
      </c>
      <c r="D48" s="38">
        <f t="shared" si="19"/>
        <v>4335</v>
      </c>
      <c r="E48" s="38">
        <f t="shared" si="19"/>
        <v>4335</v>
      </c>
      <c r="F48" s="38">
        <f t="shared" si="19"/>
        <v>4335</v>
      </c>
      <c r="G48" s="38">
        <f t="shared" si="19"/>
        <v>4335</v>
      </c>
      <c r="H48" s="38">
        <f t="shared" si="19"/>
        <v>4335</v>
      </c>
      <c r="I48" s="38">
        <f t="shared" si="19"/>
        <v>4335</v>
      </c>
      <c r="J48" s="297">
        <f t="shared" si="19"/>
        <v>4335</v>
      </c>
      <c r="K48" s="7"/>
    </row>
    <row r="49" spans="2:11" ht="12.75" hidden="1">
      <c r="B49" s="296" t="s">
        <v>495</v>
      </c>
      <c r="C49" s="38">
        <f aca="true" t="shared" si="20" ref="C49:J49">C23*0.003*C20</f>
        <v>270000</v>
      </c>
      <c r="D49" s="38">
        <f t="shared" si="20"/>
        <v>540000</v>
      </c>
      <c r="E49" s="38">
        <f t="shared" si="20"/>
        <v>810000</v>
      </c>
      <c r="F49" s="38">
        <f t="shared" si="20"/>
        <v>1080000</v>
      </c>
      <c r="G49" s="38">
        <f t="shared" si="20"/>
        <v>1350000</v>
      </c>
      <c r="H49" s="38">
        <f t="shared" si="20"/>
        <v>1620000</v>
      </c>
      <c r="I49" s="38">
        <f t="shared" si="20"/>
        <v>1890000.0000000002</v>
      </c>
      <c r="J49" s="297">
        <f t="shared" si="20"/>
        <v>2160000</v>
      </c>
      <c r="K49" s="7"/>
    </row>
    <row r="50" spans="2:11" ht="12.75" hidden="1">
      <c r="B50" s="296" t="s">
        <v>496</v>
      </c>
      <c r="C50" s="38" t="s">
        <v>497</v>
      </c>
      <c r="D50" s="38" t="s">
        <v>497</v>
      </c>
      <c r="E50" s="38" t="s">
        <v>497</v>
      </c>
      <c r="F50" s="38" t="s">
        <v>497</v>
      </c>
      <c r="G50" s="38" t="s">
        <v>497</v>
      </c>
      <c r="H50" s="38" t="s">
        <v>497</v>
      </c>
      <c r="I50" s="38" t="s">
        <v>497</v>
      </c>
      <c r="J50" s="297" t="s">
        <v>497</v>
      </c>
      <c r="K50" s="7"/>
    </row>
    <row r="51" spans="2:11" ht="12.75" hidden="1">
      <c r="B51" s="296" t="s">
        <v>498</v>
      </c>
      <c r="C51" s="38">
        <f aca="true" t="shared" si="21" ref="C51:J51">C23*C14</f>
        <v>144000</v>
      </c>
      <c r="D51" s="38">
        <f t="shared" si="21"/>
        <v>288000</v>
      </c>
      <c r="E51" s="38">
        <f t="shared" si="21"/>
        <v>432000</v>
      </c>
      <c r="F51" s="38">
        <f t="shared" si="21"/>
        <v>576000</v>
      </c>
      <c r="G51" s="38">
        <f t="shared" si="21"/>
        <v>720000</v>
      </c>
      <c r="H51" s="38">
        <f t="shared" si="21"/>
        <v>864000</v>
      </c>
      <c r="I51" s="38">
        <f t="shared" si="21"/>
        <v>1008000.0000000001</v>
      </c>
      <c r="J51" s="297">
        <f t="shared" si="21"/>
        <v>1152000</v>
      </c>
      <c r="K51" s="7"/>
    </row>
    <row r="52" spans="2:11" ht="12.75" hidden="1">
      <c r="B52" s="302" t="s">
        <v>499</v>
      </c>
      <c r="C52" s="38"/>
      <c r="D52" s="38"/>
      <c r="E52" s="38"/>
      <c r="F52" s="38"/>
      <c r="G52" s="38"/>
      <c r="H52" s="38"/>
      <c r="I52" s="38"/>
      <c r="J52" s="297"/>
      <c r="K52" s="7"/>
    </row>
    <row r="53" spans="2:11" ht="12.75" hidden="1">
      <c r="B53" s="302" t="s">
        <v>500</v>
      </c>
      <c r="C53" s="38"/>
      <c r="D53" s="38"/>
      <c r="E53" s="38"/>
      <c r="F53" s="38"/>
      <c r="G53" s="38"/>
      <c r="H53" s="38"/>
      <c r="I53" s="38"/>
      <c r="J53" s="297"/>
      <c r="K53" s="7"/>
    </row>
    <row r="54" spans="2:11" ht="12.75" hidden="1">
      <c r="B54" s="292" t="s">
        <v>89</v>
      </c>
      <c r="C54" s="38">
        <f aca="true" t="shared" si="22" ref="C54:J54">C48</f>
        <v>4335</v>
      </c>
      <c r="D54" s="38">
        <f t="shared" si="22"/>
        <v>4335</v>
      </c>
      <c r="E54" s="38">
        <f t="shared" si="22"/>
        <v>4335</v>
      </c>
      <c r="F54" s="38">
        <f t="shared" si="22"/>
        <v>4335</v>
      </c>
      <c r="G54" s="38">
        <f t="shared" si="22"/>
        <v>4335</v>
      </c>
      <c r="H54" s="38">
        <f t="shared" si="22"/>
        <v>4335</v>
      </c>
      <c r="I54" s="38">
        <f t="shared" si="22"/>
        <v>4335</v>
      </c>
      <c r="J54" s="297">
        <f t="shared" si="22"/>
        <v>4335</v>
      </c>
      <c r="K54" s="7"/>
    </row>
    <row r="55" spans="2:11" ht="12.75" hidden="1">
      <c r="B55" s="302" t="s">
        <v>484</v>
      </c>
      <c r="C55" s="38">
        <f aca="true" t="shared" si="23" ref="C55:J55">C49-C51</f>
        <v>126000</v>
      </c>
      <c r="D55" s="38">
        <f t="shared" si="23"/>
        <v>252000</v>
      </c>
      <c r="E55" s="38">
        <f t="shared" si="23"/>
        <v>378000</v>
      </c>
      <c r="F55" s="38">
        <f t="shared" si="23"/>
        <v>504000</v>
      </c>
      <c r="G55" s="38">
        <f t="shared" si="23"/>
        <v>630000</v>
      </c>
      <c r="H55" s="38">
        <f t="shared" si="23"/>
        <v>756000</v>
      </c>
      <c r="I55" s="38">
        <f t="shared" si="23"/>
        <v>882000.0000000001</v>
      </c>
      <c r="J55" s="297">
        <f t="shared" si="23"/>
        <v>1008000</v>
      </c>
      <c r="K55" s="7"/>
    </row>
    <row r="56" spans="2:11" ht="12.75" hidden="1">
      <c r="B56" s="302" t="s">
        <v>485</v>
      </c>
      <c r="C56" s="38">
        <f aca="true" t="shared" si="24" ref="C56:J56">-(C49*C21)</f>
        <v>-13365000</v>
      </c>
      <c r="D56" s="38">
        <f t="shared" si="24"/>
        <v>-26730000</v>
      </c>
      <c r="E56" s="38">
        <f t="shared" si="24"/>
        <v>-40095000</v>
      </c>
      <c r="F56" s="38">
        <f t="shared" si="24"/>
        <v>-53460000</v>
      </c>
      <c r="G56" s="38">
        <f t="shared" si="24"/>
        <v>-66825000</v>
      </c>
      <c r="H56" s="38">
        <f t="shared" si="24"/>
        <v>-80190000</v>
      </c>
      <c r="I56" s="38">
        <f t="shared" si="24"/>
        <v>-93555000.00000001</v>
      </c>
      <c r="J56" s="297">
        <f t="shared" si="24"/>
        <v>-106920000</v>
      </c>
      <c r="K56" s="7"/>
    </row>
    <row r="57" spans="2:11" ht="12.75" hidden="1">
      <c r="B57" s="296"/>
      <c r="C57" s="38"/>
      <c r="D57" s="38"/>
      <c r="E57" s="38"/>
      <c r="F57" s="38"/>
      <c r="G57" s="38"/>
      <c r="H57" s="38"/>
      <c r="I57" s="38"/>
      <c r="J57" s="297"/>
      <c r="K57" s="7"/>
    </row>
    <row r="58" spans="2:11" ht="12.75" hidden="1">
      <c r="B58" s="302" t="s">
        <v>501</v>
      </c>
      <c r="C58" s="38">
        <f aca="true" t="shared" si="25" ref="C58:J58">(-C55+((C55^2-(4*C54*C56))^0.5))/(2*C54)</f>
        <v>42.862679688614044</v>
      </c>
      <c r="D58" s="38">
        <f t="shared" si="25"/>
        <v>54.66541773638329</v>
      </c>
      <c r="E58" s="38">
        <f t="shared" si="25"/>
        <v>61.994822600649144</v>
      </c>
      <c r="F58" s="38">
        <f t="shared" si="25"/>
        <v>67.21383438091182</v>
      </c>
      <c r="G58" s="38">
        <f t="shared" si="25"/>
        <v>71.19436982691107</v>
      </c>
      <c r="H58" s="38">
        <f t="shared" si="25"/>
        <v>74.36274816017894</v>
      </c>
      <c r="I58" s="38">
        <f t="shared" si="25"/>
        <v>76.96049163549803</v>
      </c>
      <c r="J58" s="297">
        <f t="shared" si="25"/>
        <v>79.1377391599474</v>
      </c>
      <c r="K58" s="7"/>
    </row>
    <row r="59" spans="2:11" ht="12.75" hidden="1">
      <c r="B59" s="302" t="s">
        <v>48</v>
      </c>
      <c r="C59" s="38">
        <f aca="true" t="shared" si="26" ref="C59:J59">0.85*C58</f>
        <v>36.43327773532194</v>
      </c>
      <c r="D59" s="38">
        <f t="shared" si="26"/>
        <v>46.465605075925794</v>
      </c>
      <c r="E59" s="38">
        <f t="shared" si="26"/>
        <v>52.69559921055177</v>
      </c>
      <c r="F59" s="38">
        <f t="shared" si="26"/>
        <v>57.13175922377504</v>
      </c>
      <c r="G59" s="38">
        <f t="shared" si="26"/>
        <v>60.51521435287441</v>
      </c>
      <c r="H59" s="38">
        <f t="shared" si="26"/>
        <v>63.208335936152096</v>
      </c>
      <c r="I59" s="38">
        <f t="shared" si="26"/>
        <v>65.41641789017332</v>
      </c>
      <c r="J59" s="297">
        <f t="shared" si="26"/>
        <v>67.2670782859553</v>
      </c>
      <c r="K59" s="7"/>
    </row>
    <row r="60" spans="2:11" ht="12.75" hidden="1">
      <c r="B60" s="302" t="s">
        <v>502</v>
      </c>
      <c r="C60" s="38"/>
      <c r="D60" s="38"/>
      <c r="E60" s="38"/>
      <c r="F60" s="38"/>
      <c r="G60" s="38"/>
      <c r="H60" s="38"/>
      <c r="I60" s="38"/>
      <c r="J60" s="297"/>
      <c r="K60" s="7"/>
    </row>
    <row r="61" spans="2:11" ht="12.75" hidden="1">
      <c r="B61" s="296" t="s">
        <v>480</v>
      </c>
      <c r="C61" s="38">
        <f aca="true" t="shared" si="27" ref="C61:J61">(C58-C21)/C58*0.003</f>
        <v>-0.0004645524050015763</v>
      </c>
      <c r="D61" s="38">
        <f t="shared" si="27"/>
        <v>0.0002834745228487687</v>
      </c>
      <c r="E61" s="38">
        <f t="shared" si="27"/>
        <v>0.0006046386815784667</v>
      </c>
      <c r="F61" s="38">
        <f t="shared" si="27"/>
        <v>0.0007906334109965196</v>
      </c>
      <c r="G61" s="38">
        <f t="shared" si="27"/>
        <v>0.0009141609040007565</v>
      </c>
      <c r="H61" s="38">
        <f t="shared" si="27"/>
        <v>0.0010030323828252306</v>
      </c>
      <c r="I61" s="38">
        <f t="shared" si="27"/>
        <v>0.0010704385218414539</v>
      </c>
      <c r="J61" s="297">
        <f t="shared" si="27"/>
        <v>0.0011235248621411502</v>
      </c>
      <c r="K61" s="7"/>
    </row>
    <row r="62" spans="2:11" ht="12.75" hidden="1">
      <c r="B62" s="296" t="s">
        <v>503</v>
      </c>
      <c r="C62" s="38">
        <f aca="true" t="shared" si="28" ref="C62:J62">((C17-C21)-C58)/C58*0.003</f>
        <v>0.014532734898038281</v>
      </c>
      <c r="D62" s="38">
        <f t="shared" si="28"/>
        <v>0.010747265293462293</v>
      </c>
      <c r="E62" s="38">
        <f t="shared" si="28"/>
        <v>0.009121980005345335</v>
      </c>
      <c r="F62" s="38">
        <f t="shared" si="28"/>
        <v>0.008180733950411554</v>
      </c>
      <c r="G62" s="38">
        <f t="shared" si="28"/>
        <v>0.007555609970662837</v>
      </c>
      <c r="H62" s="38">
        <f t="shared" si="28"/>
        <v>0.007105866426308681</v>
      </c>
      <c r="I62" s="38">
        <f t="shared" si="28"/>
        <v>0.006764750510681127</v>
      </c>
      <c r="J62" s="297">
        <f t="shared" si="28"/>
        <v>0.006496101455225089</v>
      </c>
      <c r="K62" s="7"/>
    </row>
    <row r="63" spans="2:11" ht="12.75" hidden="1">
      <c r="B63" s="292" t="s">
        <v>504</v>
      </c>
      <c r="C63" s="38"/>
      <c r="D63" s="38"/>
      <c r="E63" s="38"/>
      <c r="F63" s="38"/>
      <c r="G63" s="38"/>
      <c r="H63" s="38"/>
      <c r="I63" s="38"/>
      <c r="J63" s="297"/>
      <c r="K63" s="7"/>
    </row>
    <row r="64" spans="2:11" ht="12.75" hidden="1">
      <c r="B64" s="296" t="s">
        <v>505</v>
      </c>
      <c r="C64" s="38">
        <f aca="true" t="shared" si="29" ref="C64:J64">0.85*C15*C59*C16*((C17-C21)-(C59/2))</f>
        <v>43160505.46808582</v>
      </c>
      <c r="D64" s="38">
        <f t="shared" si="29"/>
        <v>53856550.00431565</v>
      </c>
      <c r="E64" s="38">
        <f t="shared" si="29"/>
        <v>60240356.0222347</v>
      </c>
      <c r="F64" s="38">
        <f t="shared" si="29"/>
        <v>64665382.32072513</v>
      </c>
      <c r="G64" s="38">
        <f t="shared" si="29"/>
        <v>67972879.61767015</v>
      </c>
      <c r="H64" s="38">
        <f t="shared" si="29"/>
        <v>70563810.5590966</v>
      </c>
      <c r="I64" s="38">
        <f t="shared" si="29"/>
        <v>72660509.96515736</v>
      </c>
      <c r="J64" s="297">
        <f t="shared" si="29"/>
        <v>74398663.32034364</v>
      </c>
      <c r="K64" s="7"/>
    </row>
    <row r="65" spans="2:11" ht="12.75" hidden="1">
      <c r="B65" s="296" t="s">
        <v>506</v>
      </c>
      <c r="C65" s="38">
        <f aca="true" t="shared" si="30" ref="C65:J65">C22*((C58-C21)/C58)*0.003*C20*((C17-C21)-C21)</f>
        <v>-8403753.006478515</v>
      </c>
      <c r="D65" s="38">
        <f t="shared" si="30"/>
        <v>10256108.23666845</v>
      </c>
      <c r="E65" s="38">
        <f t="shared" si="30"/>
        <v>32813741.249263395</v>
      </c>
      <c r="F65" s="38">
        <f t="shared" si="30"/>
        <v>57210233.61970816</v>
      </c>
      <c r="G65" s="38">
        <f t="shared" si="30"/>
        <v>82685853.76686841</v>
      </c>
      <c r="H65" s="38">
        <f t="shared" si="30"/>
        <v>108869134.83185053</v>
      </c>
      <c r="I65" s="38">
        <f t="shared" si="30"/>
        <v>135549630.02078333</v>
      </c>
      <c r="J65" s="297">
        <f t="shared" si="30"/>
        <v>162596518.04906726</v>
      </c>
      <c r="K65" s="7"/>
    </row>
    <row r="66" spans="2:11" ht="12.75" hidden="1">
      <c r="B66" s="296"/>
      <c r="C66" s="38"/>
      <c r="D66" s="38"/>
      <c r="E66" s="38"/>
      <c r="F66" s="38"/>
      <c r="G66" s="38"/>
      <c r="H66" s="38"/>
      <c r="I66" s="38"/>
      <c r="J66" s="297"/>
      <c r="K66" s="7"/>
    </row>
    <row r="67" spans="2:11" ht="12.75" hidden="1">
      <c r="B67" s="296" t="s">
        <v>507</v>
      </c>
      <c r="C67" s="38">
        <f aca="true" t="shared" si="31" ref="C67:J67">(C64+C65)/10^6</f>
        <v>34.756752461607306</v>
      </c>
      <c r="D67" s="38">
        <f t="shared" si="31"/>
        <v>64.1126582409841</v>
      </c>
      <c r="E67" s="38">
        <f t="shared" si="31"/>
        <v>93.0540972714981</v>
      </c>
      <c r="F67" s="38">
        <f t="shared" si="31"/>
        <v>121.87561594043329</v>
      </c>
      <c r="G67" s="38">
        <f t="shared" si="31"/>
        <v>150.65873338453855</v>
      </c>
      <c r="H67" s="38">
        <f t="shared" si="31"/>
        <v>179.43294539094714</v>
      </c>
      <c r="I67" s="38">
        <f t="shared" si="31"/>
        <v>208.21013998594069</v>
      </c>
      <c r="J67" s="297">
        <f t="shared" si="31"/>
        <v>236.99518136941091</v>
      </c>
      <c r="K67" s="7"/>
    </row>
    <row r="68" spans="2:11" ht="12.75" hidden="1">
      <c r="B68" s="296"/>
      <c r="C68" s="38"/>
      <c r="D68" s="38"/>
      <c r="E68" s="38"/>
      <c r="F68" s="38"/>
      <c r="G68" s="38"/>
      <c r="H68" s="38"/>
      <c r="I68" s="38"/>
      <c r="J68" s="297"/>
      <c r="K68" s="7"/>
    </row>
    <row r="69" spans="2:11" ht="12.75" hidden="1">
      <c r="B69" s="292" t="s">
        <v>508</v>
      </c>
      <c r="C69" s="38"/>
      <c r="D69" s="38"/>
      <c r="E69" s="38"/>
      <c r="F69" s="38"/>
      <c r="G69" s="38"/>
      <c r="H69" s="38"/>
      <c r="I69" s="38"/>
      <c r="J69" s="297"/>
      <c r="K69" s="7"/>
    </row>
    <row r="70" spans="2:11" ht="12.75" hidden="1">
      <c r="B70" s="303"/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f>0</f>
        <v>0</v>
      </c>
      <c r="I70" s="38">
        <f>0</f>
        <v>0</v>
      </c>
      <c r="J70" s="297">
        <f>0</f>
        <v>0</v>
      </c>
      <c r="K70" s="7"/>
    </row>
    <row r="71" spans="2:11" ht="12.75" hidden="1">
      <c r="B71" s="292" t="s">
        <v>507</v>
      </c>
      <c r="C71" s="38">
        <f aca="true" t="shared" si="32" ref="C71:J71">C67</f>
        <v>34.756752461607306</v>
      </c>
      <c r="D71" s="38">
        <f t="shared" si="32"/>
        <v>64.1126582409841</v>
      </c>
      <c r="E71" s="38">
        <f t="shared" si="32"/>
        <v>93.0540972714981</v>
      </c>
      <c r="F71" s="38">
        <f t="shared" si="32"/>
        <v>121.87561594043329</v>
      </c>
      <c r="G71" s="38">
        <f t="shared" si="32"/>
        <v>150.65873338453855</v>
      </c>
      <c r="H71" s="38">
        <f t="shared" si="32"/>
        <v>179.43294539094714</v>
      </c>
      <c r="I71" s="38">
        <f t="shared" si="32"/>
        <v>208.21013998594069</v>
      </c>
      <c r="J71" s="297">
        <f t="shared" si="32"/>
        <v>236.99518136941091</v>
      </c>
      <c r="K71" s="7"/>
    </row>
    <row r="72" spans="2:11" ht="12.75" hidden="1">
      <c r="B72" s="292" t="s">
        <v>509</v>
      </c>
      <c r="C72" s="38">
        <f aca="true" t="shared" si="33" ref="C72:J72">C40</f>
        <v>85.23395564301748</v>
      </c>
      <c r="D72" s="38">
        <f t="shared" si="33"/>
        <v>113.40913064301749</v>
      </c>
      <c r="E72" s="38">
        <f t="shared" si="33"/>
        <v>141.58430564301747</v>
      </c>
      <c r="F72" s="38">
        <f t="shared" si="33"/>
        <v>169.75948064301747</v>
      </c>
      <c r="G72" s="38">
        <f t="shared" si="33"/>
        <v>197.93465564301746</v>
      </c>
      <c r="H72" s="38">
        <f t="shared" si="33"/>
        <v>226.10983064301746</v>
      </c>
      <c r="I72" s="38">
        <f t="shared" si="33"/>
        <v>254.28500564301754</v>
      </c>
      <c r="J72" s="297">
        <f t="shared" si="33"/>
        <v>282.46018064301745</v>
      </c>
      <c r="K72" s="7"/>
    </row>
    <row r="73" spans="2:11" ht="12.75" hidden="1">
      <c r="B73" s="292" t="s">
        <v>507</v>
      </c>
      <c r="C73" s="38">
        <f aca="true" t="shared" si="34" ref="C73:J73">C71</f>
        <v>34.756752461607306</v>
      </c>
      <c r="D73" s="38">
        <f t="shared" si="34"/>
        <v>64.1126582409841</v>
      </c>
      <c r="E73" s="38">
        <f t="shared" si="34"/>
        <v>93.0540972714981</v>
      </c>
      <c r="F73" s="38">
        <f t="shared" si="34"/>
        <v>121.87561594043329</v>
      </c>
      <c r="G73" s="38">
        <f t="shared" si="34"/>
        <v>150.65873338453855</v>
      </c>
      <c r="H73" s="38">
        <f t="shared" si="34"/>
        <v>179.43294539094714</v>
      </c>
      <c r="I73" s="38">
        <f t="shared" si="34"/>
        <v>208.21013998594069</v>
      </c>
      <c r="J73" s="297">
        <f t="shared" si="34"/>
        <v>236.99518136941091</v>
      </c>
      <c r="K73" s="7"/>
    </row>
    <row r="74" spans="2:11" ht="12.75" hidden="1">
      <c r="B74" s="303"/>
      <c r="C74" s="38"/>
      <c r="D74" s="38"/>
      <c r="E74" s="38"/>
      <c r="F74" s="38"/>
      <c r="G74" s="38"/>
      <c r="H74" s="38"/>
      <c r="I74" s="38"/>
      <c r="J74" s="297"/>
      <c r="K74" s="7"/>
    </row>
    <row r="75" spans="2:11" ht="12.75" hidden="1">
      <c r="B75" s="292" t="s">
        <v>473</v>
      </c>
      <c r="C75" s="38">
        <f aca="true" t="shared" si="35" ref="C75:J76">C25</f>
        <v>1802.7</v>
      </c>
      <c r="D75" s="38">
        <f t="shared" si="35"/>
        <v>2075.4</v>
      </c>
      <c r="E75" s="38">
        <f t="shared" si="35"/>
        <v>2348.1</v>
      </c>
      <c r="F75" s="38">
        <f t="shared" si="35"/>
        <v>2620.8</v>
      </c>
      <c r="G75" s="38">
        <f t="shared" si="35"/>
        <v>2893.5</v>
      </c>
      <c r="H75" s="38">
        <f t="shared" si="35"/>
        <v>3166.2</v>
      </c>
      <c r="I75" s="38">
        <f t="shared" si="35"/>
        <v>3438.9</v>
      </c>
      <c r="J75" s="297">
        <f t="shared" si="35"/>
        <v>3711.6</v>
      </c>
      <c r="K75" s="7"/>
    </row>
    <row r="76" spans="2:11" ht="12.75" hidden="1">
      <c r="B76" s="292" t="s">
        <v>474</v>
      </c>
      <c r="C76" s="38">
        <f t="shared" si="35"/>
        <v>1442.16</v>
      </c>
      <c r="D76" s="38">
        <f t="shared" si="35"/>
        <v>1660.3200000000002</v>
      </c>
      <c r="E76" s="38">
        <f t="shared" si="35"/>
        <v>1878.48</v>
      </c>
      <c r="F76" s="38">
        <f t="shared" si="35"/>
        <v>2096.6400000000003</v>
      </c>
      <c r="G76" s="38">
        <f t="shared" si="35"/>
        <v>2314.8</v>
      </c>
      <c r="H76" s="38">
        <f t="shared" si="35"/>
        <v>2532.96</v>
      </c>
      <c r="I76" s="38">
        <f t="shared" si="35"/>
        <v>2751.1200000000003</v>
      </c>
      <c r="J76" s="297">
        <f t="shared" si="35"/>
        <v>2969.28</v>
      </c>
      <c r="K76" s="7"/>
    </row>
    <row r="77" spans="2:11" ht="12.75" hidden="1">
      <c r="B77" s="292" t="s">
        <v>482</v>
      </c>
      <c r="C77" s="38">
        <f aca="true" t="shared" si="36" ref="C77:J77">C34</f>
        <v>700.5570652173914</v>
      </c>
      <c r="D77" s="38">
        <f t="shared" si="36"/>
        <v>692.9070652173914</v>
      </c>
      <c r="E77" s="38">
        <f t="shared" si="36"/>
        <v>685.2570652173913</v>
      </c>
      <c r="F77" s="38">
        <f t="shared" si="36"/>
        <v>677.6070652173913</v>
      </c>
      <c r="G77" s="38">
        <f t="shared" si="36"/>
        <v>669.9570652173913</v>
      </c>
      <c r="H77" s="38">
        <f t="shared" si="36"/>
        <v>662.3070652173914</v>
      </c>
      <c r="I77" s="38">
        <f t="shared" si="36"/>
        <v>654.6570652173915</v>
      </c>
      <c r="J77" s="297">
        <f t="shared" si="36"/>
        <v>647.0070652173913</v>
      </c>
      <c r="K77" s="7"/>
    </row>
    <row r="78" spans="2:11" ht="12.75" hidden="1">
      <c r="B78" s="296"/>
      <c r="C78" s="38">
        <v>0</v>
      </c>
      <c r="D78" s="38">
        <f>0</f>
        <v>0</v>
      </c>
      <c r="E78" s="38">
        <f>0</f>
        <v>0</v>
      </c>
      <c r="F78" s="38">
        <v>0</v>
      </c>
      <c r="G78" s="38">
        <f>0</f>
        <v>0</v>
      </c>
      <c r="H78" s="38">
        <f>0</f>
        <v>0</v>
      </c>
      <c r="I78" s="38">
        <f>0</f>
        <v>0</v>
      </c>
      <c r="J78" s="297">
        <f>0</f>
        <v>0</v>
      </c>
      <c r="K78" s="7"/>
    </row>
    <row r="79" spans="2:11" ht="12.75" hidden="1">
      <c r="B79" s="292"/>
      <c r="C79" s="38"/>
      <c r="D79" s="38"/>
      <c r="E79" s="38"/>
      <c r="F79" s="38"/>
      <c r="G79" s="38"/>
      <c r="H79" s="38"/>
      <c r="I79" s="38"/>
      <c r="J79" s="297"/>
      <c r="K79" s="7"/>
    </row>
    <row r="80" spans="2:11" ht="12.75">
      <c r="B80" s="303" t="s">
        <v>507</v>
      </c>
      <c r="C80" s="38">
        <f aca="true" t="shared" si="37" ref="C80:J83">C70*1000000/(0.85*25*160000*400)</f>
        <v>0</v>
      </c>
      <c r="D80" s="38">
        <f t="shared" si="37"/>
        <v>0</v>
      </c>
      <c r="E80" s="38">
        <f t="shared" si="37"/>
        <v>0</v>
      </c>
      <c r="F80" s="38">
        <f t="shared" si="37"/>
        <v>0</v>
      </c>
      <c r="G80" s="38">
        <f t="shared" si="37"/>
        <v>0</v>
      </c>
      <c r="H80" s="38">
        <f t="shared" si="37"/>
        <v>0</v>
      </c>
      <c r="I80" s="38">
        <f t="shared" si="37"/>
        <v>0</v>
      </c>
      <c r="J80" s="297">
        <f t="shared" si="37"/>
        <v>0</v>
      </c>
      <c r="K80" s="7"/>
    </row>
    <row r="81" spans="2:11" ht="12.75">
      <c r="B81" s="296"/>
      <c r="C81" s="38">
        <f t="shared" si="37"/>
        <v>0.025556435633534786</v>
      </c>
      <c r="D81" s="38">
        <f t="shared" si="37"/>
        <v>0.04714166047131184</v>
      </c>
      <c r="E81" s="38">
        <f t="shared" si="37"/>
        <v>0.06842213034668977</v>
      </c>
      <c r="F81" s="38">
        <f t="shared" si="37"/>
        <v>0.08961442348561272</v>
      </c>
      <c r="G81" s="38">
        <f t="shared" si="37"/>
        <v>0.11077848042980777</v>
      </c>
      <c r="H81" s="38">
        <f t="shared" si="37"/>
        <v>0.13193598925804936</v>
      </c>
      <c r="I81" s="38">
        <f t="shared" si="37"/>
        <v>0.15309569116613286</v>
      </c>
      <c r="J81" s="297">
        <f t="shared" si="37"/>
        <v>0.17426116277162568</v>
      </c>
      <c r="K81" s="7"/>
    </row>
    <row r="82" spans="2:11" ht="12.75">
      <c r="B82" s="296"/>
      <c r="C82" s="38">
        <f t="shared" si="37"/>
        <v>0.0626720262081011</v>
      </c>
      <c r="D82" s="38">
        <f t="shared" si="37"/>
        <v>0.08338906664927756</v>
      </c>
      <c r="E82" s="38">
        <f t="shared" si="37"/>
        <v>0.10410610709045402</v>
      </c>
      <c r="F82" s="38">
        <f t="shared" si="37"/>
        <v>0.1248231475316305</v>
      </c>
      <c r="G82" s="38">
        <f t="shared" si="37"/>
        <v>0.14554018797280696</v>
      </c>
      <c r="H82" s="38">
        <f t="shared" si="37"/>
        <v>0.16625722841398344</v>
      </c>
      <c r="I82" s="38">
        <f t="shared" si="37"/>
        <v>0.18697426885515994</v>
      </c>
      <c r="J82" s="297">
        <f t="shared" si="37"/>
        <v>0.20769130929633636</v>
      </c>
      <c r="K82" s="7"/>
    </row>
    <row r="83" spans="2:11" ht="12.75">
      <c r="B83" s="296"/>
      <c r="C83" s="38">
        <f t="shared" si="37"/>
        <v>0.025556435633534786</v>
      </c>
      <c r="D83" s="38">
        <f t="shared" si="37"/>
        <v>0.04714166047131184</v>
      </c>
      <c r="E83" s="38">
        <f t="shared" si="37"/>
        <v>0.06842213034668977</v>
      </c>
      <c r="F83" s="38">
        <f t="shared" si="37"/>
        <v>0.08961442348561272</v>
      </c>
      <c r="G83" s="38">
        <f t="shared" si="37"/>
        <v>0.11077848042980777</v>
      </c>
      <c r="H83" s="38">
        <f t="shared" si="37"/>
        <v>0.13193598925804936</v>
      </c>
      <c r="I83" s="38">
        <f t="shared" si="37"/>
        <v>0.15309569116613286</v>
      </c>
      <c r="J83" s="297">
        <f t="shared" si="37"/>
        <v>0.17426116277162568</v>
      </c>
      <c r="K83" s="7"/>
    </row>
    <row r="84" spans="2:11" ht="12.75">
      <c r="B84" s="303" t="s">
        <v>107</v>
      </c>
      <c r="C84" s="38">
        <f aca="true" t="shared" si="38" ref="C84:J87">C75*1000/(0.85*160000*25)</f>
        <v>0.5302058823529412</v>
      </c>
      <c r="D84" s="38">
        <f t="shared" si="38"/>
        <v>0.6104117647058823</v>
      </c>
      <c r="E84" s="38">
        <f t="shared" si="38"/>
        <v>0.6906176470588236</v>
      </c>
      <c r="F84" s="38">
        <f t="shared" si="38"/>
        <v>0.7708235294117647</v>
      </c>
      <c r="G84" s="38">
        <f t="shared" si="38"/>
        <v>0.8510294117647059</v>
      </c>
      <c r="H84" s="38">
        <f t="shared" si="38"/>
        <v>0.931235294117647</v>
      </c>
      <c r="I84" s="38">
        <f t="shared" si="38"/>
        <v>1.0114411764705882</v>
      </c>
      <c r="J84" s="297">
        <f t="shared" si="38"/>
        <v>1.0916470588235294</v>
      </c>
      <c r="K84" s="7"/>
    </row>
    <row r="85" spans="2:11" ht="12.75">
      <c r="B85" s="296"/>
      <c r="C85" s="38">
        <f t="shared" si="38"/>
        <v>0.42416470588235294</v>
      </c>
      <c r="D85" s="38">
        <f t="shared" si="38"/>
        <v>0.48832941176470596</v>
      </c>
      <c r="E85" s="38">
        <f t="shared" si="38"/>
        <v>0.5524941176470588</v>
      </c>
      <c r="F85" s="38">
        <f t="shared" si="38"/>
        <v>0.6166588235294118</v>
      </c>
      <c r="G85" s="38">
        <f t="shared" si="38"/>
        <v>0.6808235294117647</v>
      </c>
      <c r="H85" s="38">
        <f t="shared" si="38"/>
        <v>0.7449882352941176</v>
      </c>
      <c r="I85" s="38">
        <f t="shared" si="38"/>
        <v>0.8091529411764707</v>
      </c>
      <c r="J85" s="297">
        <f t="shared" si="38"/>
        <v>0.8733176470588235</v>
      </c>
      <c r="K85" s="7"/>
    </row>
    <row r="86" spans="2:11" ht="12.75">
      <c r="B86" s="296"/>
      <c r="C86" s="38">
        <f t="shared" si="38"/>
        <v>0.20604619565217394</v>
      </c>
      <c r="D86" s="38">
        <f t="shared" si="38"/>
        <v>0.20379619565217394</v>
      </c>
      <c r="E86" s="38">
        <f t="shared" si="38"/>
        <v>0.20154619565217394</v>
      </c>
      <c r="F86" s="38">
        <f t="shared" si="38"/>
        <v>0.19929619565217394</v>
      </c>
      <c r="G86" s="38">
        <f t="shared" si="38"/>
        <v>0.19704619565217393</v>
      </c>
      <c r="H86" s="38">
        <f t="shared" si="38"/>
        <v>0.19479619565217393</v>
      </c>
      <c r="I86" s="38">
        <f t="shared" si="38"/>
        <v>0.19254619565217396</v>
      </c>
      <c r="J86" s="297">
        <f t="shared" si="38"/>
        <v>0.19029619565217393</v>
      </c>
      <c r="K86" s="7"/>
    </row>
    <row r="87" spans="2:11" ht="12.75">
      <c r="B87" s="296"/>
      <c r="C87" s="38">
        <f t="shared" si="38"/>
        <v>0</v>
      </c>
      <c r="D87" s="38">
        <f t="shared" si="38"/>
        <v>0</v>
      </c>
      <c r="E87" s="38">
        <f t="shared" si="38"/>
        <v>0</v>
      </c>
      <c r="F87" s="38">
        <f t="shared" si="38"/>
        <v>0</v>
      </c>
      <c r="G87" s="38">
        <f t="shared" si="38"/>
        <v>0</v>
      </c>
      <c r="H87" s="38">
        <f t="shared" si="38"/>
        <v>0</v>
      </c>
      <c r="I87" s="38">
        <f t="shared" si="38"/>
        <v>0</v>
      </c>
      <c r="J87" s="297">
        <f t="shared" si="38"/>
        <v>0</v>
      </c>
      <c r="K87" s="7"/>
    </row>
    <row r="88" spans="2:11" ht="12.75">
      <c r="B88" s="296"/>
      <c r="C88" s="38"/>
      <c r="D88" s="38"/>
      <c r="E88" s="304"/>
      <c r="F88" s="38"/>
      <c r="G88" s="38"/>
      <c r="H88" s="38"/>
      <c r="I88" s="38"/>
      <c r="J88" s="297"/>
      <c r="K88" s="7"/>
    </row>
    <row r="89" spans="2:11" ht="12.75">
      <c r="B89" s="296"/>
      <c r="C89" s="38"/>
      <c r="D89" s="38"/>
      <c r="E89" s="38"/>
      <c r="F89" s="38"/>
      <c r="G89" s="38"/>
      <c r="H89" s="38"/>
      <c r="I89" s="38"/>
      <c r="J89" s="297"/>
      <c r="K89" s="7"/>
    </row>
    <row r="90" spans="2:10" ht="12.75">
      <c r="B90" s="292"/>
      <c r="C90" s="8"/>
      <c r="D90" s="8"/>
      <c r="E90" s="8"/>
      <c r="F90" s="8"/>
      <c r="G90" s="8"/>
      <c r="H90" s="8"/>
      <c r="I90" s="8"/>
      <c r="J90" s="297"/>
    </row>
    <row r="102" ht="13.5" thickBot="1"/>
    <row r="103" spans="2:8" ht="13.5" thickBot="1">
      <c r="B103" s="84" t="s">
        <v>86</v>
      </c>
      <c r="C103" s="86" t="s">
        <v>510</v>
      </c>
      <c r="D103" s="86" t="s">
        <v>511</v>
      </c>
      <c r="E103" s="86" t="s">
        <v>512</v>
      </c>
      <c r="F103" s="86" t="s">
        <v>513</v>
      </c>
      <c r="G103" s="305" t="s">
        <v>514</v>
      </c>
      <c r="H103" s="7"/>
    </row>
    <row r="104" spans="2:8" ht="12.75">
      <c r="B104" s="306" t="s">
        <v>152</v>
      </c>
      <c r="C104" s="307" t="s">
        <v>153</v>
      </c>
      <c r="D104" s="307" t="s">
        <v>153</v>
      </c>
      <c r="E104" s="307" t="s">
        <v>154</v>
      </c>
      <c r="F104" s="307" t="s">
        <v>154</v>
      </c>
      <c r="G104" s="308" t="s">
        <v>155</v>
      </c>
      <c r="H104" s="7"/>
    </row>
    <row r="105" spans="2:8" ht="12.75">
      <c r="B105" s="42" t="s">
        <v>157</v>
      </c>
      <c r="C105" s="39" t="s">
        <v>158</v>
      </c>
      <c r="D105" s="39" t="s">
        <v>158</v>
      </c>
      <c r="E105" s="39" t="s">
        <v>159</v>
      </c>
      <c r="F105" s="39" t="s">
        <v>160</v>
      </c>
      <c r="G105" s="309" t="s">
        <v>161</v>
      </c>
      <c r="H105" s="7"/>
    </row>
    <row r="106" spans="2:8" ht="12.75">
      <c r="B106" s="42" t="s">
        <v>162</v>
      </c>
      <c r="C106" s="310">
        <v>10354</v>
      </c>
      <c r="D106" s="310">
        <v>8021</v>
      </c>
      <c r="E106" s="310">
        <v>4445</v>
      </c>
      <c r="F106" s="310">
        <v>20865</v>
      </c>
      <c r="G106" s="311">
        <v>822</v>
      </c>
      <c r="H106" s="312"/>
    </row>
    <row r="107" spans="2:8" ht="12.75">
      <c r="B107" s="313" t="s">
        <v>163</v>
      </c>
      <c r="C107" s="314">
        <v>120</v>
      </c>
      <c r="D107" s="314">
        <v>130</v>
      </c>
      <c r="E107" s="314">
        <v>1000</v>
      </c>
      <c r="F107" s="314">
        <v>1290</v>
      </c>
      <c r="G107" s="315">
        <v>102</v>
      </c>
      <c r="H107" s="312"/>
    </row>
    <row r="108" spans="2:8" ht="12.75">
      <c r="B108" s="313"/>
      <c r="C108" s="314"/>
      <c r="D108" s="314"/>
      <c r="E108" s="314"/>
      <c r="F108" s="314"/>
      <c r="G108" s="315"/>
      <c r="H108" s="312"/>
    </row>
    <row r="109" spans="2:8" ht="12.75">
      <c r="B109" s="316" t="s">
        <v>515</v>
      </c>
      <c r="C109" s="317"/>
      <c r="D109" s="318"/>
      <c r="E109" s="318"/>
      <c r="F109" s="318"/>
      <c r="G109" s="319"/>
      <c r="H109" s="312"/>
    </row>
    <row r="110" spans="2:8" ht="12.75">
      <c r="B110" s="313" t="s">
        <v>516</v>
      </c>
      <c r="C110" s="320">
        <f>C107/100</f>
        <v>1.2</v>
      </c>
      <c r="D110" s="320">
        <f>D107/100</f>
        <v>1.3</v>
      </c>
      <c r="E110" s="320">
        <f>E107/100</f>
        <v>10</v>
      </c>
      <c r="F110" s="320">
        <f>F107/100</f>
        <v>12.9</v>
      </c>
      <c r="G110" s="321">
        <f>G107/100</f>
        <v>1.02</v>
      </c>
      <c r="H110" s="312"/>
    </row>
    <row r="111" spans="2:8" ht="12.75">
      <c r="B111" s="313" t="s">
        <v>532</v>
      </c>
      <c r="C111" s="320">
        <f>C106/100</f>
        <v>103.54</v>
      </c>
      <c r="D111" s="320">
        <f>D106/100</f>
        <v>80.21</v>
      </c>
      <c r="E111" s="320">
        <f>E106/100</f>
        <v>44.45</v>
      </c>
      <c r="F111" s="320">
        <f>F106/100</f>
        <v>208.65</v>
      </c>
      <c r="G111" s="321">
        <f>G106/100</f>
        <v>8.22</v>
      </c>
      <c r="H111" s="312"/>
    </row>
    <row r="112" spans="2:8" ht="14.25">
      <c r="B112" s="313" t="s">
        <v>533</v>
      </c>
      <c r="C112" s="320">
        <f>$F$8*$F$9</f>
        <v>90000</v>
      </c>
      <c r="D112" s="320">
        <f>$F$8*$F$9</f>
        <v>90000</v>
      </c>
      <c r="E112" s="320">
        <f>$F$8*$F$9</f>
        <v>90000</v>
      </c>
      <c r="F112" s="320">
        <f>$F$8*$F$9</f>
        <v>90000</v>
      </c>
      <c r="G112" s="321">
        <f>$F$8*$F$9</f>
        <v>90000</v>
      </c>
      <c r="H112" s="312"/>
    </row>
    <row r="113" spans="2:8" ht="12.75">
      <c r="B113" s="313" t="s">
        <v>487</v>
      </c>
      <c r="C113" s="322">
        <f>(C110*1000000)/(C111*1000)</f>
        <v>11.589723778249951</v>
      </c>
      <c r="D113" s="322">
        <f>(D110*1000000)/(D111*1000)</f>
        <v>16.207455429497568</v>
      </c>
      <c r="E113" s="322">
        <f>(E110*1000000)/(E111*1000)</f>
        <v>224.9718785151856</v>
      </c>
      <c r="F113" s="322">
        <f>(F110*1000000)/(F111*1000)</f>
        <v>61.82602444284687</v>
      </c>
      <c r="G113" s="323">
        <f>(G110*1000000)/(G111*1000)</f>
        <v>124.08759124087591</v>
      </c>
      <c r="H113" s="312"/>
    </row>
    <row r="114" spans="2:8" ht="12.75">
      <c r="B114" s="313" t="s">
        <v>534</v>
      </c>
      <c r="C114" s="324">
        <f>(C111*1000)/(0.85*$D$8*C112*C115)</f>
        <v>0.10411261940673705</v>
      </c>
      <c r="D114" s="324">
        <f>(D111*1000)/(0.85*$D$8*D112*D115)</f>
        <v>0.08065359477124183</v>
      </c>
      <c r="E114" s="324">
        <f>(E111*1000)/(0.85*$D$8*E112*E115)</f>
        <v>0.044695827048768226</v>
      </c>
      <c r="F114" s="324">
        <f>(F111*1000)/(0.85*$D$8*F112*F115)</f>
        <v>0.20980392156862746</v>
      </c>
      <c r="G114" s="325">
        <f>(G111*1000)/(0.85*$D$8*G112*G115)</f>
        <v>0.008265460030165912</v>
      </c>
      <c r="H114" s="312"/>
    </row>
    <row r="115" spans="2:8" ht="12.75">
      <c r="B115" s="326" t="s">
        <v>517</v>
      </c>
      <c r="C115" s="320">
        <f>IF($G$8=1,0.65,0.7)</f>
        <v>0.65</v>
      </c>
      <c r="D115" s="320">
        <f>IF($G$8=1,0.65,0.7)</f>
        <v>0.65</v>
      </c>
      <c r="E115" s="320">
        <f>IF($G$8=1,0.65,0.7)</f>
        <v>0.65</v>
      </c>
      <c r="F115" s="320">
        <f>IF($G$8=1,0.65,0.7)</f>
        <v>0.65</v>
      </c>
      <c r="G115" s="321">
        <f>IF($G$8=1,0.65,0.7)</f>
        <v>0.65</v>
      </c>
      <c r="H115" s="312"/>
    </row>
    <row r="116" spans="2:8" ht="25.5">
      <c r="B116" s="327" t="s">
        <v>535</v>
      </c>
      <c r="C116" s="324">
        <f>C114*C113/$F$9</f>
        <v>0.004022121669180492</v>
      </c>
      <c r="D116" s="324">
        <f>D114*D113/$F$9</f>
        <v>0.004357298474945533</v>
      </c>
      <c r="E116" s="324">
        <f>E114*E113/$F$9</f>
        <v>0.0335176805765041</v>
      </c>
      <c r="F116" s="324">
        <f>F114*F113/$F$9</f>
        <v>0.043237807943690296</v>
      </c>
      <c r="G116" s="325">
        <f>G114*G113/$F$9</f>
        <v>0.0034188034188034184</v>
      </c>
      <c r="H116" s="312"/>
    </row>
    <row r="117" spans="2:8" ht="12.75">
      <c r="B117" s="326" t="s">
        <v>518</v>
      </c>
      <c r="C117" s="320">
        <v>0.01</v>
      </c>
      <c r="D117" s="320">
        <v>0.01</v>
      </c>
      <c r="E117" s="320">
        <v>0.02</v>
      </c>
      <c r="F117" s="320">
        <v>0.01</v>
      </c>
      <c r="G117" s="321">
        <v>0.01</v>
      </c>
      <c r="H117" s="312"/>
    </row>
    <row r="118" spans="2:9" ht="18.75">
      <c r="B118" s="328" t="s">
        <v>198</v>
      </c>
      <c r="C118" s="329">
        <f>$F$8*$F$9*C117</f>
        <v>900</v>
      </c>
      <c r="D118" s="329">
        <f>$F$8*$F$9*D117</f>
        <v>900</v>
      </c>
      <c r="E118" s="329">
        <f>$F$8*$F$9*E117</f>
        <v>1800</v>
      </c>
      <c r="F118" s="329">
        <f>$F$8*$F$9*F117</f>
        <v>900</v>
      </c>
      <c r="G118" s="330">
        <f>$F$8*$F$9*G117</f>
        <v>900</v>
      </c>
      <c r="H118" s="331"/>
      <c r="I118" s="331"/>
    </row>
    <row r="119" spans="2:9" ht="12.75">
      <c r="B119" s="328" t="s">
        <v>184</v>
      </c>
      <c r="C119" s="332" t="s">
        <v>519</v>
      </c>
      <c r="D119" s="332" t="s">
        <v>519</v>
      </c>
      <c r="E119" s="332" t="s">
        <v>520</v>
      </c>
      <c r="F119" s="332" t="s">
        <v>521</v>
      </c>
      <c r="G119" s="333" t="s">
        <v>522</v>
      </c>
      <c r="H119" s="230"/>
      <c r="I119" s="230"/>
    </row>
    <row r="120" spans="2:9" ht="12.75">
      <c r="B120" s="328" t="s">
        <v>190</v>
      </c>
      <c r="C120" s="334" t="str">
        <f>IF(C118&lt;IF(MID(C119,2,1)=" ",LEFT(C119,1)*0.25*3.14*MID(C119,4,2)^2,LEFT(C119,2)*0.25*3.14*MID(C119,5,2)^2),IF(MID(C119,2,1)=" ",LEFT(C119,1)*0.25*3.14*MID(C119,4,2)^2,LEFT(C119,2)*0.25*3.14*MID(C119,5,2)^2),"ganti")</f>
        <v>ganti</v>
      </c>
      <c r="D120" s="334" t="str">
        <f>IF(D118&lt;IF(MID(D119,2,1)=" ",LEFT(D119,1)*0.25*3.14*MID(D119,4,2)^2,LEFT(D119,2)*0.25*3.14*MID(D119,5,2)^2),IF(MID(D119,2,1)=" ",LEFT(D119,1)*0.25*3.14*MID(D119,4,2)^2,LEFT(D119,2)*0.25*3.14*MID(D119,5,2)^2),"ganti")</f>
        <v>ganti</v>
      </c>
      <c r="E120" s="334">
        <f>IF(E118&lt;IF(MID(E119,2,1)=" ",LEFT(E119,1)*0.25*3.14*MID(E119,4,2)^2,LEFT(E119,2)*0.25*3.14*MID(E119,5,2)^2),IF(MID(E119,2,1)=" ",LEFT(E119,1)*0.25*3.14*MID(E119,4,2)^2,LEFT(E119,2)*0.25*3.14*MID(E119,5,2)^2),"ganti")</f>
        <v>3400.62</v>
      </c>
      <c r="F120" s="334" t="str">
        <f>IF(F118&lt;IF(MID(F119,2,1)=" ",LEFT(F119,1)*0.25*3.14*MID(F119,4,2)^2,LEFT(F119,2)*0.25*3.14*MID(F119,5,2)^2),IF(MID(F119,2,1)=" ",LEFT(F119,1)*0.25*3.14*MID(F119,4,2)^2,LEFT(F119,2)*0.25*3.14*MID(F119,5,2)^2),"ganti")</f>
        <v>ganti</v>
      </c>
      <c r="G120" s="335" t="str">
        <f>IF(G118&lt;IF(MID(G119,2,1)=" ",LEFT(G119,1)*0.25*3.14*MID(G119,4,2)^2,LEFT(G119,2)*0.25*3.14*MID(G119,5,2)^2),IF(MID(G119,2,1)=" ",LEFT(G119,1)*0.25*3.14*MID(G119,4,2)^2,LEFT(G119,2)*0.25*3.14*MID(G119,5,2)^2),"ganti")</f>
        <v>ganti</v>
      </c>
      <c r="H120" s="336"/>
      <c r="I120" s="336"/>
    </row>
    <row r="121" spans="2:9" ht="12.75">
      <c r="B121" s="337" t="s">
        <v>523</v>
      </c>
      <c r="C121" s="334"/>
      <c r="D121" s="334"/>
      <c r="E121" s="334"/>
      <c r="F121" s="334"/>
      <c r="G121" s="335"/>
      <c r="H121" s="336"/>
      <c r="I121" s="336"/>
    </row>
    <row r="122" spans="2:9" ht="12.75">
      <c r="B122" s="328" t="s">
        <v>524</v>
      </c>
      <c r="C122" s="332" t="s">
        <v>95</v>
      </c>
      <c r="D122" s="332" t="s">
        <v>94</v>
      </c>
      <c r="E122" s="332" t="s">
        <v>94</v>
      </c>
      <c r="F122" s="332" t="s">
        <v>525</v>
      </c>
      <c r="G122" s="333" t="s">
        <v>526</v>
      </c>
      <c r="H122" s="230"/>
      <c r="I122" s="230"/>
    </row>
    <row r="123" spans="2:9" ht="12.75">
      <c r="B123" s="328" t="s">
        <v>190</v>
      </c>
      <c r="C123" s="338">
        <f>IF(MID(C122,2,1)=" ",LEFT(C122,1)*0.25*3.14*MID(C122,4,2)^2,LEFT(C122,2)*0.25*3.14*MID(C122,5,2)^2)</f>
        <v>795.99</v>
      </c>
      <c r="D123" s="338">
        <f>IF(MID(D122,2,1)=" ",LEFT(D122,1)*0.25*3.14*MID(D122,4,2)^2,LEFT(D122,2)*0.25*3.14*MID(D122,5,2)^2)</f>
        <v>530.66</v>
      </c>
      <c r="E123" s="338">
        <f>IF(MID(E122,2,1)=" ",LEFT(E122,1)*0.25*3.14*MID(E122,4,2)^2,LEFT(E122,2)*0.25*3.14*MID(E122,5,2)^2)</f>
        <v>530.66</v>
      </c>
      <c r="F123" s="338">
        <f>IF(MID(F122,2,1)=" ",LEFT(F122,1)*0.25*3.14*MID(F122,4,2)^2,LEFT(F122,2)*0.25*3.14*MID(F122,5,2)^2)</f>
        <v>265.33</v>
      </c>
      <c r="G123" s="339">
        <f>IF(MID(G122,2,1)=" ",LEFT(G122,1)*0.25*3.14*MID(G122,4,2)^2,LEFT(G122,2)*0.25*3.14*MID(G122,5,2)^2)</f>
        <v>452.16</v>
      </c>
      <c r="H123" s="340"/>
      <c r="I123" s="340"/>
    </row>
    <row r="124" spans="2:9" ht="12.75">
      <c r="B124" s="328" t="s">
        <v>527</v>
      </c>
      <c r="C124" s="332" t="s">
        <v>528</v>
      </c>
      <c r="D124" s="332" t="s">
        <v>95</v>
      </c>
      <c r="E124" s="332" t="s">
        <v>529</v>
      </c>
      <c r="F124" s="332" t="s">
        <v>530</v>
      </c>
      <c r="G124" s="333" t="s">
        <v>529</v>
      </c>
      <c r="H124" s="230"/>
      <c r="I124" s="230"/>
    </row>
    <row r="125" spans="2:9" ht="12.75">
      <c r="B125" s="328" t="s">
        <v>190</v>
      </c>
      <c r="C125" s="338">
        <f>IF(MID(C124,2,1)=" ",LEFT(C124,1)*0.25*3.14*MID(C124,4,2)^2,LEFT(C124,2)*0.25*3.14*MID(C124,5,2)^2)</f>
        <v>471</v>
      </c>
      <c r="D125" s="338">
        <f>IF(MID(D124,2,1)=" ",LEFT(D124,1)*0.25*3.14*MID(D124,4,2)^2,LEFT(D124,2)*0.25*3.14*MID(D124,5,2)^2)</f>
        <v>795.99</v>
      </c>
      <c r="E125" s="338">
        <f>IF(MID(E124,2,1)=" ",LEFT(E124,1)*0.25*3.14*MID(E124,4,2)^2,LEFT(E124,2)*0.25*3.14*MID(E124,5,2)^2)</f>
        <v>314</v>
      </c>
      <c r="F125" s="338">
        <f>IF(MID(F124,2,1)=" ",LEFT(F124,1)*0.25*3.14*MID(F124,4,2)^2,LEFT(F124,2)*0.25*3.14*MID(F124,5,2)^2)</f>
        <v>397.995</v>
      </c>
      <c r="G125" s="339">
        <f>IF(MID(G124,2,1)=" ",LEFT(G124,1)*0.25*3.14*MID(G124,4,2)^2,LEFT(G124,2)*0.25*3.14*MID(G124,5,2)^2)</f>
        <v>314</v>
      </c>
      <c r="H125" s="340"/>
      <c r="I125" s="340"/>
    </row>
    <row r="126" spans="2:9" ht="12.75">
      <c r="B126" s="328" t="s">
        <v>531</v>
      </c>
      <c r="C126" s="334" t="str">
        <f>IF(C123+C125&lt;C120,"ganti",C123+C125)</f>
        <v>ganti</v>
      </c>
      <c r="D126" s="334" t="str">
        <f>IF(D123+D125&lt;D120,"ganti",D123+D125)</f>
        <v>ganti</v>
      </c>
      <c r="E126" s="334" t="str">
        <f>IF(E123+E125&lt;E120,"ganti",E123+E125)</f>
        <v>ganti</v>
      </c>
      <c r="F126" s="334" t="str">
        <f>IF(F123+F125&lt;F120,"ganti",F123+F125)</f>
        <v>ganti</v>
      </c>
      <c r="G126" s="335" t="str">
        <f>IF(G123+G125&lt;G120,"ganti",G123+G125)</f>
        <v>ganti</v>
      </c>
      <c r="H126" s="336"/>
      <c r="I126" s="336"/>
    </row>
    <row r="127" spans="2:9" ht="12.75">
      <c r="B127" s="328"/>
      <c r="C127" s="341"/>
      <c r="D127" s="341"/>
      <c r="E127" s="341"/>
      <c r="F127" s="341"/>
      <c r="G127" s="342"/>
      <c r="H127" s="343"/>
      <c r="I127" s="343"/>
    </row>
    <row r="128" spans="2:9" ht="12.75">
      <c r="B128" s="344" t="s">
        <v>138</v>
      </c>
      <c r="C128" s="345" t="s">
        <v>191</v>
      </c>
      <c r="D128" s="345" t="s">
        <v>191</v>
      </c>
      <c r="E128" s="345" t="s">
        <v>191</v>
      </c>
      <c r="F128" s="345" t="s">
        <v>191</v>
      </c>
      <c r="G128" s="346" t="s">
        <v>191</v>
      </c>
      <c r="H128" s="347"/>
      <c r="I128" s="347"/>
    </row>
    <row r="129" spans="2:9" ht="12.75">
      <c r="B129" s="328" t="s">
        <v>141</v>
      </c>
      <c r="C129" s="341">
        <f>48*MID(C128,2,2)</f>
        <v>384</v>
      </c>
      <c r="D129" s="341">
        <f>48*MID(D128,2,2)</f>
        <v>384</v>
      </c>
      <c r="E129" s="341">
        <f>48*MID(E128,2,2)</f>
        <v>384</v>
      </c>
      <c r="F129" s="341">
        <f>48*MID(F128,2,2)</f>
        <v>384</v>
      </c>
      <c r="G129" s="342">
        <f>48*MID(G128,2,2)</f>
        <v>384</v>
      </c>
      <c r="H129" s="343"/>
      <c r="I129" s="343"/>
    </row>
    <row r="130" spans="2:9" ht="12.75">
      <c r="B130" s="328" t="s">
        <v>142</v>
      </c>
      <c r="C130" s="341">
        <f>16*IF(C118&lt;IF(MID(C119,2,1)=" ",MID(C119,4,2),MID(C119,5,2)),IF(MID(C119,2,1)=" ",MID(C119,4,2),MID(C119,5,2)),"ganti")</f>
        <v>208</v>
      </c>
      <c r="D130" s="341">
        <f>16*IF(D118&lt;IF(MID(D119,2,1)=" ",MID(D119,4,2),MID(D119,5,2)),IF(MID(D119,2,1)=" ",MID(D119,4,2),MID(D119,5,2)),"ganti")</f>
        <v>208</v>
      </c>
      <c r="E130" s="341">
        <f>16*IF(E118&lt;IF(MID(E119,2,1)=" ",MID(E119,4,2),MID(E119,5,2)),IF(MID(E119,2,1)=" ",MID(E119,4,2),MID(E119,5,2)),"ganti")</f>
        <v>304</v>
      </c>
      <c r="F130" s="341">
        <f>16*IF(F118&lt;IF(MID(F119,2,1)=" ",MID(F119,4,2),MID(F119,5,2)),IF(MID(F119,2,1)=" ",MID(F119,4,2),MID(F119,5,2)),"ganti")</f>
        <v>208</v>
      </c>
      <c r="G130" s="342">
        <f>16*IF(G118&lt;IF(MID(G119,2,1)=" ",MID(G119,4,2),MID(G119,5,2)),IF(MID(G119,2,1)=" ",MID(G119,4,2),MID(G119,5,2)),"ganti")</f>
        <v>192</v>
      </c>
      <c r="H130" s="343"/>
      <c r="I130" s="343"/>
    </row>
    <row r="131" spans="2:9" ht="12.75">
      <c r="B131" s="328" t="s">
        <v>143</v>
      </c>
      <c r="C131" s="341">
        <f>MIN(F8:F9)</f>
        <v>300</v>
      </c>
      <c r="D131" s="341">
        <f>C131</f>
        <v>300</v>
      </c>
      <c r="E131" s="341">
        <f>D131</f>
        <v>300</v>
      </c>
      <c r="F131" s="341">
        <f>E131</f>
        <v>300</v>
      </c>
      <c r="G131" s="342">
        <f>F131</f>
        <v>300</v>
      </c>
      <c r="H131" s="343"/>
      <c r="I131" s="343"/>
    </row>
    <row r="132" spans="2:9" ht="12.75">
      <c r="B132" s="328" t="s">
        <v>144</v>
      </c>
      <c r="C132" s="341">
        <f>MIN(C129:C131)</f>
        <v>208</v>
      </c>
      <c r="D132" s="341">
        <f>MIN(D129:D131)</f>
        <v>208</v>
      </c>
      <c r="E132" s="341">
        <f>MIN(E129:E131)</f>
        <v>300</v>
      </c>
      <c r="F132" s="341">
        <f>MIN(F129:F131)</f>
        <v>208</v>
      </c>
      <c r="G132" s="342">
        <f>MIN(G129:G131)</f>
        <v>192</v>
      </c>
      <c r="H132" s="343"/>
      <c r="I132" s="343"/>
    </row>
    <row r="133" spans="2:9" ht="13.5" thickBot="1">
      <c r="B133" s="348" t="s">
        <v>193</v>
      </c>
      <c r="C133" s="349" t="str">
        <f>C128&amp;" - "&amp;C132</f>
        <v>d8 - 208</v>
      </c>
      <c r="D133" s="349" t="str">
        <f>D128&amp;" - "&amp;D132</f>
        <v>d8 - 208</v>
      </c>
      <c r="E133" s="349" t="str">
        <f>E128&amp;" - "&amp;E132</f>
        <v>d8 - 300</v>
      </c>
      <c r="F133" s="349" t="str">
        <f>F128&amp;" - "&amp;F132</f>
        <v>d8 - 208</v>
      </c>
      <c r="G133" s="350" t="str">
        <f>G128&amp;" - "&amp;G132</f>
        <v>d8 - 192</v>
      </c>
      <c r="H133" s="347"/>
      <c r="I133" s="347"/>
    </row>
    <row r="134" spans="2:9" ht="12.75">
      <c r="B134" s="351"/>
      <c r="C134" s="7"/>
      <c r="D134" s="7"/>
      <c r="E134" s="7"/>
      <c r="F134" s="7"/>
      <c r="G134" s="7"/>
      <c r="H134" s="7"/>
      <c r="I134" s="7"/>
    </row>
    <row r="135" spans="2:9" ht="12.75">
      <c r="B135" s="7"/>
      <c r="C135" s="7"/>
      <c r="D135" s="7"/>
      <c r="E135" s="7"/>
      <c r="F135" s="7"/>
      <c r="G135" s="7"/>
      <c r="H135" s="7"/>
      <c r="I135" s="7"/>
    </row>
    <row r="136" spans="2:9" ht="12.75">
      <c r="B136" s="7"/>
      <c r="C136" s="7"/>
      <c r="D136" s="7"/>
      <c r="E136" s="7"/>
      <c r="F136" s="7"/>
      <c r="G136" s="7"/>
      <c r="H136" s="7"/>
      <c r="I136" s="7"/>
    </row>
    <row r="137" spans="2:7" ht="12.75">
      <c r="B137" s="7"/>
      <c r="C137" s="7"/>
      <c r="D137" s="7"/>
      <c r="E137" s="7"/>
      <c r="F137" s="7"/>
      <c r="G137" s="7"/>
    </row>
    <row r="138" spans="2:7" ht="12.75">
      <c r="B138" s="7"/>
      <c r="C138" s="7"/>
      <c r="D138" s="7"/>
      <c r="E138" s="7"/>
      <c r="F138" s="7"/>
      <c r="G138" s="7"/>
    </row>
    <row r="139" spans="2:7" ht="12.75">
      <c r="B139" s="7"/>
      <c r="C139" s="7"/>
      <c r="D139" s="7"/>
      <c r="E139" s="7"/>
      <c r="F139" s="7"/>
      <c r="G139" s="7"/>
    </row>
    <row r="140" spans="2:7" ht="12.75">
      <c r="B140" s="7"/>
      <c r="C140" s="7"/>
      <c r="D140" s="7"/>
      <c r="E140" s="7"/>
      <c r="F140" s="7"/>
      <c r="G140" s="7"/>
    </row>
    <row r="141" spans="2:7" ht="12.75">
      <c r="B141" s="7"/>
      <c r="C141" s="7"/>
      <c r="D141" s="7"/>
      <c r="E141" s="7"/>
      <c r="F141" s="7"/>
      <c r="G141" s="7"/>
    </row>
  </sheetData>
  <sheetProtection/>
  <mergeCells count="1">
    <mergeCell ref="B5:J5"/>
  </mergeCells>
  <printOptions/>
  <pageMargins left="1.04" right="0.75" top="0.66" bottom="0.71" header="0.5" footer="0.5"/>
  <pageSetup horizontalDpi="300" verticalDpi="300" orientation="portrait" paperSize="9" scale="75" r:id="rId2"/>
  <headerFooter alignWithMargins="0">
    <oddFooter>&amp;CHAL. A-&amp;P&amp;R&amp;"Arial Narrow,Italic"&amp;8GEDUNG DAKWAH MUHAMMADIYAH
KABUPATEN GRESIK
ALCO - TS/&amp;D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K3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57421875" style="159" customWidth="1"/>
    <col min="2" max="2" width="1.7109375" style="159" customWidth="1"/>
    <col min="3" max="3" width="5.00390625" style="159" customWidth="1"/>
    <col min="4" max="4" width="5.57421875" style="159" customWidth="1"/>
    <col min="5" max="5" width="23.28125" style="159" customWidth="1"/>
    <col min="6" max="7" width="10.140625" style="159" customWidth="1"/>
    <col min="8" max="8" width="12.57421875" style="159" customWidth="1"/>
    <col min="9" max="9" width="8.57421875" style="159" customWidth="1"/>
    <col min="10" max="10" width="10.57421875" style="159" customWidth="1"/>
    <col min="11" max="11" width="5.57421875" style="159" customWidth="1"/>
    <col min="12" max="15" width="7.421875" style="159" customWidth="1"/>
    <col min="16" max="16" width="7.00390625" style="159" customWidth="1"/>
    <col min="17" max="17" width="9.421875" style="159" bestFit="1" customWidth="1"/>
    <col min="18" max="18" width="11.57421875" style="159" customWidth="1"/>
    <col min="19" max="16384" width="9.140625" style="159" customWidth="1"/>
  </cols>
  <sheetData>
    <row r="1" ht="12.75">
      <c r="A1" s="158"/>
    </row>
    <row r="2" ht="12.75">
      <c r="A2" s="158"/>
    </row>
    <row r="3" ht="12.75">
      <c r="A3" s="158"/>
    </row>
    <row r="4" spans="1:5" ht="22.5">
      <c r="A4" s="160"/>
      <c r="B4" s="158"/>
      <c r="C4" s="161" t="str">
        <f>"PERHITUNGAN PILE CAP TYPE "&amp;I9</f>
        <v>PERHITUNGAN PILE CAP TYPE P1</v>
      </c>
      <c r="D4" s="162"/>
      <c r="E4" s="162"/>
    </row>
    <row r="5" spans="1:5" ht="19.5" customHeight="1">
      <c r="A5" s="163"/>
      <c r="B5" s="158"/>
      <c r="C5" s="164"/>
      <c r="D5" s="162"/>
      <c r="E5" s="162"/>
    </row>
    <row r="6" spans="1:5" ht="19.5" customHeight="1">
      <c r="A6" s="165"/>
      <c r="B6" s="158"/>
      <c r="C6" s="166" t="str">
        <f>"Pile Cap Type "&amp;I9&amp;" ("&amp;I10&amp;" tiang ) Arah X ( "&amp;I11&amp;"x"&amp;I12&amp;"x"&amp;F12&amp;" mm2)"</f>
        <v>Pile Cap Type P1 (4 tiang ) Arah X ( 1100x1100x500 mm2)</v>
      </c>
      <c r="D6" s="167"/>
      <c r="E6" s="167"/>
    </row>
    <row r="7" spans="1:5" ht="15">
      <c r="A7" s="165"/>
      <c r="B7" s="158"/>
      <c r="C7" s="166" t="s">
        <v>52</v>
      </c>
      <c r="D7" s="167"/>
      <c r="E7" s="167"/>
    </row>
    <row r="8" spans="1:5" ht="15">
      <c r="A8" s="165"/>
      <c r="B8" s="158"/>
      <c r="C8" s="168"/>
      <c r="D8" s="167"/>
      <c r="E8" s="167"/>
    </row>
    <row r="9" spans="1:9" ht="15">
      <c r="A9" s="165"/>
      <c r="B9" s="158"/>
      <c r="C9" s="169" t="s">
        <v>201</v>
      </c>
      <c r="F9" s="170">
        <v>20</v>
      </c>
      <c r="G9" s="169" t="s">
        <v>44</v>
      </c>
      <c r="H9" s="169" t="s">
        <v>86</v>
      </c>
      <c r="I9" s="169" t="s">
        <v>202</v>
      </c>
    </row>
    <row r="10" spans="1:10" ht="15">
      <c r="A10" s="165"/>
      <c r="B10" s="158"/>
      <c r="C10" s="169" t="s">
        <v>107</v>
      </c>
      <c r="F10" s="170">
        <v>100536</v>
      </c>
      <c r="G10" s="169" t="s">
        <v>97</v>
      </c>
      <c r="H10" s="169" t="s">
        <v>203</v>
      </c>
      <c r="I10" s="159">
        <v>4</v>
      </c>
      <c r="J10" s="169" t="s">
        <v>204</v>
      </c>
    </row>
    <row r="11" spans="1:10" ht="15">
      <c r="A11" s="165"/>
      <c r="B11" s="158"/>
      <c r="C11" s="169" t="s">
        <v>205</v>
      </c>
      <c r="F11" s="171">
        <v>60</v>
      </c>
      <c r="G11" s="169" t="s">
        <v>71</v>
      </c>
      <c r="H11" s="169" t="s">
        <v>84</v>
      </c>
      <c r="I11" s="159">
        <v>1100</v>
      </c>
      <c r="J11" s="169" t="s">
        <v>71</v>
      </c>
    </row>
    <row r="12" spans="1:10" ht="15">
      <c r="A12" s="165"/>
      <c r="B12" s="158"/>
      <c r="C12" s="169" t="s">
        <v>206</v>
      </c>
      <c r="F12" s="170">
        <v>500</v>
      </c>
      <c r="G12" s="169" t="s">
        <v>71</v>
      </c>
      <c r="H12" s="169" t="s">
        <v>85</v>
      </c>
      <c r="I12" s="159">
        <v>1100</v>
      </c>
      <c r="J12" s="169" t="s">
        <v>71</v>
      </c>
    </row>
    <row r="13" spans="1:7" ht="15">
      <c r="A13" s="165"/>
      <c r="B13" s="158"/>
      <c r="C13" s="169" t="s">
        <v>93</v>
      </c>
      <c r="F13" s="171">
        <f>F12-F11</f>
        <v>440</v>
      </c>
      <c r="G13" s="169" t="s">
        <v>71</v>
      </c>
    </row>
    <row r="14" spans="1:6" ht="15">
      <c r="A14" s="165"/>
      <c r="B14" s="158"/>
      <c r="C14" s="172" t="s">
        <v>207</v>
      </c>
      <c r="F14" s="170">
        <v>1</v>
      </c>
    </row>
    <row r="15" spans="1:7" ht="15.75">
      <c r="A15" s="165"/>
      <c r="B15" s="158"/>
      <c r="C15" s="169" t="s">
        <v>239</v>
      </c>
      <c r="F15" s="170">
        <v>500</v>
      </c>
      <c r="G15" s="169" t="s">
        <v>71</v>
      </c>
    </row>
    <row r="16" spans="1:8" ht="15.75">
      <c r="A16" s="165"/>
      <c r="B16" s="158"/>
      <c r="C16" s="169" t="s">
        <v>240</v>
      </c>
      <c r="F16" s="170">
        <v>500</v>
      </c>
      <c r="G16" s="169" t="s">
        <v>71</v>
      </c>
      <c r="H16" s="173"/>
    </row>
    <row r="17" spans="1:8" ht="15.75">
      <c r="A17" s="165"/>
      <c r="B17" s="158"/>
      <c r="C17" s="169" t="s">
        <v>241</v>
      </c>
      <c r="F17" s="170">
        <f>F15+2*0.5*F12</f>
        <v>1000</v>
      </c>
      <c r="G17" s="169" t="s">
        <v>71</v>
      </c>
      <c r="H17" s="173"/>
    </row>
    <row r="18" spans="1:8" ht="15.75">
      <c r="A18" s="165"/>
      <c r="B18" s="158"/>
      <c r="C18" s="169" t="s">
        <v>242</v>
      </c>
      <c r="F18" s="170">
        <f>F16+2*0.5*F12</f>
        <v>1000</v>
      </c>
      <c r="G18" s="169" t="s">
        <v>71</v>
      </c>
      <c r="H18" s="169"/>
    </row>
    <row r="19" spans="1:2" ht="15">
      <c r="A19" s="165"/>
      <c r="B19" s="158"/>
    </row>
    <row r="20" spans="1:3" ht="15">
      <c r="A20" s="165"/>
      <c r="B20" s="158"/>
      <c r="C20" s="166" t="s">
        <v>208</v>
      </c>
    </row>
    <row r="21" spans="1:3" ht="15">
      <c r="A21" s="165"/>
      <c r="B21" s="158"/>
      <c r="C21" s="166"/>
    </row>
    <row r="22" spans="1:6" ht="15">
      <c r="A22" s="165"/>
      <c r="B22" s="158"/>
      <c r="C22" s="169" t="s">
        <v>89</v>
      </c>
      <c r="D22" s="174" t="s">
        <v>46</v>
      </c>
      <c r="E22" s="169" t="s">
        <v>209</v>
      </c>
      <c r="F22" s="175"/>
    </row>
    <row r="23" spans="1:8" ht="15">
      <c r="A23" s="165"/>
      <c r="B23" s="158"/>
      <c r="C23" s="169"/>
      <c r="D23" s="174" t="s">
        <v>46</v>
      </c>
      <c r="E23" s="169" t="str">
        <f>"2*("&amp;F17&amp;"+"&amp;F18&amp;")*"&amp;F13</f>
        <v>2*(1000+1000)*440</v>
      </c>
      <c r="F23" s="175" t="s">
        <v>46</v>
      </c>
      <c r="G23" s="159">
        <f>2*(F17+F18)*F13</f>
        <v>1760000</v>
      </c>
      <c r="H23" s="169" t="s">
        <v>76</v>
      </c>
    </row>
    <row r="24" spans="1:8" ht="15">
      <c r="A24" s="165"/>
      <c r="B24" s="158"/>
      <c r="C24" s="169"/>
      <c r="D24" s="174"/>
      <c r="E24" s="169"/>
      <c r="F24" s="175"/>
      <c r="H24" s="169"/>
    </row>
    <row r="25" spans="1:5" ht="15">
      <c r="A25" s="165"/>
      <c r="B25" s="158"/>
      <c r="C25" s="169" t="s">
        <v>210</v>
      </c>
      <c r="D25" s="174" t="s">
        <v>46</v>
      </c>
      <c r="E25" s="169" t="s">
        <v>243</v>
      </c>
    </row>
    <row r="26" spans="1:5" ht="15">
      <c r="A26" s="165"/>
      <c r="B26" s="158"/>
      <c r="C26" s="169"/>
      <c r="D26" s="174" t="s">
        <v>46</v>
      </c>
      <c r="E26" s="169" t="str">
        <f>"(1+2/"&amp;F14&amp;") x ("&amp;F9&amp;"^0.5 /6) x "&amp;G23</f>
        <v>(1+2/1) x (20^0.5 /6) x 1760000</v>
      </c>
    </row>
    <row r="27" spans="1:8" ht="15">
      <c r="A27" s="165"/>
      <c r="B27" s="158"/>
      <c r="C27" s="169"/>
      <c r="D27" s="175" t="s">
        <v>46</v>
      </c>
      <c r="E27" s="176">
        <f>(1+2/F14)*(F9^0.5/6)*G23</f>
        <v>3935479.64039963</v>
      </c>
      <c r="F27" s="169" t="s">
        <v>211</v>
      </c>
      <c r="G27" s="159">
        <f>E27/10</f>
        <v>393547.96403996303</v>
      </c>
      <c r="H27" s="169" t="s">
        <v>97</v>
      </c>
    </row>
    <row r="28" spans="1:4" ht="15">
      <c r="A28" s="165"/>
      <c r="B28" s="158"/>
      <c r="C28" s="169"/>
      <c r="D28" s="175"/>
    </row>
    <row r="29" spans="1:5" ht="15">
      <c r="A29" s="165"/>
      <c r="B29" s="158"/>
      <c r="C29" s="169" t="s">
        <v>212</v>
      </c>
      <c r="D29" s="174" t="s">
        <v>46</v>
      </c>
      <c r="E29" s="169" t="s">
        <v>244</v>
      </c>
    </row>
    <row r="30" spans="1:5" ht="15">
      <c r="A30" s="165"/>
      <c r="B30" s="158"/>
      <c r="C30" s="169"/>
      <c r="D30" s="174" t="s">
        <v>46</v>
      </c>
      <c r="E30" s="169" t="str">
        <f>"("&amp;F9&amp;"^0.5 /3) x "&amp;G23</f>
        <v>(20^0.5 /3) x 1760000</v>
      </c>
    </row>
    <row r="31" spans="1:8" ht="15">
      <c r="A31" s="165"/>
      <c r="B31" s="158"/>
      <c r="C31" s="169"/>
      <c r="D31" s="175" t="s">
        <v>46</v>
      </c>
      <c r="E31" s="176">
        <f>(F9^0.5/3)*G23</f>
        <v>2623653.0935997535</v>
      </c>
      <c r="F31" s="169" t="s">
        <v>211</v>
      </c>
      <c r="G31" s="159">
        <f>E31/10</f>
        <v>262365.30935997533</v>
      </c>
      <c r="H31" s="169" t="s">
        <v>97</v>
      </c>
    </row>
    <row r="32" spans="1:4" ht="15">
      <c r="A32" s="165"/>
      <c r="B32" s="158"/>
      <c r="C32" s="169"/>
      <c r="D32" s="175"/>
    </row>
    <row r="33" spans="1:8" ht="15">
      <c r="A33" s="165"/>
      <c r="B33" s="158"/>
      <c r="C33" s="169" t="s">
        <v>213</v>
      </c>
      <c r="D33" s="175"/>
      <c r="F33" s="175" t="s">
        <v>46</v>
      </c>
      <c r="G33" s="159">
        <f>MIN(G31,G27)</f>
        <v>262365.30935997533</v>
      </c>
      <c r="H33" s="169" t="s">
        <v>97</v>
      </c>
    </row>
    <row r="34" spans="1:7" ht="15">
      <c r="A34" s="165"/>
      <c r="B34" s="158"/>
      <c r="C34" s="169" t="s">
        <v>214</v>
      </c>
      <c r="E34" s="174" t="s">
        <v>215</v>
      </c>
      <c r="F34" s="174" t="str">
        <f>IF(E35&gt;G35,"&gt;","&lt;")</f>
        <v>&gt;</v>
      </c>
      <c r="G34" s="169" t="s">
        <v>245</v>
      </c>
    </row>
    <row r="35" spans="1:8" ht="15">
      <c r="A35" s="165"/>
      <c r="B35" s="158"/>
      <c r="C35" s="169"/>
      <c r="E35" s="177">
        <f>G33</f>
        <v>262365.30935997533</v>
      </c>
      <c r="F35" s="175" t="str">
        <f>IF(E35&gt;G35,"&gt;","&lt;")</f>
        <v>&gt;</v>
      </c>
      <c r="G35" s="159">
        <f>F10/0.6</f>
        <v>167560</v>
      </c>
      <c r="H35" s="175" t="str">
        <f>IF(E35&gt;G35,"(ok)","(not)")</f>
        <v>(ok)</v>
      </c>
    </row>
    <row r="36" spans="1:8" ht="15">
      <c r="A36" s="165"/>
      <c r="B36" s="158"/>
      <c r="C36" s="169" t="str">
        <f>"Berarti dimensi pile cap "&amp;IF(E35&gt;G35,"bisa dipakai.","tidak bisa dipakai.")</f>
        <v>Berarti dimensi pile cap bisa dipakai.</v>
      </c>
      <c r="E36" s="177"/>
      <c r="F36" s="175"/>
      <c r="H36" s="175"/>
    </row>
    <row r="37" spans="1:4" ht="15">
      <c r="A37" s="165"/>
      <c r="B37" s="158"/>
      <c r="C37" s="169"/>
      <c r="D37" s="175"/>
    </row>
    <row r="38" spans="1:3" ht="15">
      <c r="A38" s="165"/>
      <c r="B38" s="158"/>
      <c r="C38" s="166" t="s">
        <v>9</v>
      </c>
    </row>
    <row r="39" spans="1:4" ht="15">
      <c r="A39" s="165"/>
      <c r="B39" s="158"/>
      <c r="C39" s="169"/>
      <c r="D39" s="175"/>
    </row>
    <row r="40" spans="1:11" ht="15">
      <c r="A40" s="165"/>
      <c r="B40" s="158"/>
      <c r="C40" s="178" t="s">
        <v>41</v>
      </c>
      <c r="D40" s="179"/>
      <c r="E40" s="179"/>
      <c r="F40" s="180"/>
      <c r="G40" s="180"/>
      <c r="H40" s="180"/>
      <c r="I40" s="180"/>
      <c r="J40" s="180"/>
      <c r="K40" s="180"/>
    </row>
    <row r="41" spans="1:11" ht="15">
      <c r="A41" s="165"/>
      <c r="B41" s="158"/>
      <c r="C41" s="181"/>
      <c r="D41" s="182" t="s">
        <v>43</v>
      </c>
      <c r="E41" s="180"/>
      <c r="F41" s="183">
        <v>25</v>
      </c>
      <c r="G41" s="180" t="s">
        <v>44</v>
      </c>
      <c r="H41" s="180"/>
      <c r="I41" s="184" t="s">
        <v>206</v>
      </c>
      <c r="J41" s="185">
        <f>F12</f>
        <v>500</v>
      </c>
      <c r="K41" s="180" t="s">
        <v>71</v>
      </c>
    </row>
    <row r="42" spans="1:11" ht="15">
      <c r="A42" s="165"/>
      <c r="B42" s="158"/>
      <c r="C42" s="181"/>
      <c r="D42" s="182" t="s">
        <v>72</v>
      </c>
      <c r="E42" s="180"/>
      <c r="F42" s="183">
        <v>350</v>
      </c>
      <c r="G42" s="180" t="s">
        <v>44</v>
      </c>
      <c r="H42" s="180"/>
      <c r="I42" s="184" t="s">
        <v>50</v>
      </c>
      <c r="J42" s="186">
        <f>I12</f>
        <v>1100</v>
      </c>
      <c r="K42" s="180" t="s">
        <v>71</v>
      </c>
    </row>
    <row r="43" spans="1:11" ht="15">
      <c r="A43" s="165"/>
      <c r="B43" s="158"/>
      <c r="C43" s="181"/>
      <c r="D43" s="187" t="s">
        <v>80</v>
      </c>
      <c r="E43" s="180"/>
      <c r="F43" s="188">
        <f>F11</f>
        <v>60</v>
      </c>
      <c r="G43" s="180" t="s">
        <v>71</v>
      </c>
      <c r="H43" s="180"/>
      <c r="I43" s="180"/>
      <c r="J43" s="189"/>
      <c r="K43" s="180"/>
    </row>
    <row r="44" spans="1:8" ht="15">
      <c r="A44" s="165"/>
      <c r="B44" s="158"/>
      <c r="C44" s="181"/>
      <c r="H44" s="180"/>
    </row>
    <row r="45" spans="1:11" ht="15">
      <c r="A45" s="165"/>
      <c r="B45" s="158"/>
      <c r="C45" s="180"/>
      <c r="D45" s="180"/>
      <c r="E45" s="180"/>
      <c r="F45" s="190"/>
      <c r="G45" s="180"/>
      <c r="H45" s="191"/>
      <c r="I45" s="180"/>
      <c r="J45" s="180"/>
      <c r="K45" s="180"/>
    </row>
    <row r="46" spans="1:11" ht="15">
      <c r="A46" s="165"/>
      <c r="B46" s="158"/>
      <c r="C46" s="192" t="s">
        <v>216</v>
      </c>
      <c r="D46" s="180"/>
      <c r="E46" s="180"/>
      <c r="F46" s="180"/>
      <c r="G46" s="180"/>
      <c r="H46" s="180"/>
      <c r="I46" s="180"/>
      <c r="J46" s="180"/>
      <c r="K46" s="180"/>
    </row>
    <row r="47" spans="1:11" ht="15">
      <c r="A47" s="165"/>
      <c r="B47" s="158"/>
      <c r="C47" s="180"/>
      <c r="D47" s="193"/>
      <c r="E47" s="193"/>
      <c r="H47" s="194" t="s">
        <v>217</v>
      </c>
      <c r="I47" s="195">
        <f>$G$118</f>
        <v>1320</v>
      </c>
      <c r="J47" s="180" t="str">
        <f>H118</f>
        <v>kg/m</v>
      </c>
      <c r="K47" s="180"/>
    </row>
    <row r="48" spans="1:11" ht="15">
      <c r="A48" s="165"/>
      <c r="B48" s="158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ht="15">
      <c r="A49" s="165"/>
      <c r="B49" s="158"/>
      <c r="C49" s="180"/>
      <c r="D49" s="193"/>
      <c r="E49" s="193"/>
      <c r="F49" s="180"/>
      <c r="G49" s="180"/>
      <c r="H49" s="180"/>
      <c r="I49" s="180"/>
      <c r="J49" s="180"/>
      <c r="K49" s="180"/>
    </row>
    <row r="50" spans="1:11" ht="15">
      <c r="A50" s="165"/>
      <c r="B50" s="158"/>
      <c r="C50" s="180"/>
      <c r="D50" s="193"/>
      <c r="E50" s="60" t="str">
        <f>D53&amp;" m"</f>
        <v>0,3 m</v>
      </c>
      <c r="F50" s="196" t="s">
        <v>218</v>
      </c>
      <c r="G50" s="197"/>
      <c r="H50" s="180"/>
      <c r="I50" s="180"/>
      <c r="J50" s="180"/>
      <c r="K50" s="180"/>
    </row>
    <row r="51" spans="1:11" ht="15">
      <c r="A51" s="165"/>
      <c r="B51" s="158"/>
      <c r="C51" s="180"/>
      <c r="D51" s="193"/>
      <c r="E51" s="378" t="str">
        <f>D54&amp;" m"</f>
        <v>0,55 m</v>
      </c>
      <c r="F51" s="378"/>
      <c r="G51" s="180"/>
      <c r="H51" s="180"/>
      <c r="I51" s="180"/>
      <c r="J51" s="180"/>
      <c r="K51" s="180"/>
    </row>
    <row r="52" spans="1:11" ht="15">
      <c r="A52" s="165"/>
      <c r="B52" s="158"/>
      <c r="C52" s="180"/>
      <c r="D52" s="193"/>
      <c r="E52" s="193"/>
      <c r="F52" s="180"/>
      <c r="G52" s="180"/>
      <c r="H52" s="180"/>
      <c r="I52" s="180"/>
      <c r="J52" s="180"/>
      <c r="K52" s="180"/>
    </row>
    <row r="53" spans="1:11" ht="15">
      <c r="A53" s="165"/>
      <c r="B53" s="158"/>
      <c r="C53" s="180" t="s">
        <v>219</v>
      </c>
      <c r="D53" s="198">
        <v>0.3</v>
      </c>
      <c r="E53" s="199" t="str">
        <f>"m                            "&amp;F50&amp;" ="</f>
        <v>m                            2P =</v>
      </c>
      <c r="F53" s="200">
        <f>$F$10/$I$10*LEFT(F50,1)</f>
        <v>50268</v>
      </c>
      <c r="G53" s="199" t="s">
        <v>97</v>
      </c>
      <c r="H53" s="180"/>
      <c r="I53" s="199"/>
      <c r="J53" s="180"/>
      <c r="K53" s="180"/>
    </row>
    <row r="54" spans="1:11" ht="15">
      <c r="A54" s="165"/>
      <c r="B54" s="158"/>
      <c r="C54" s="180" t="s">
        <v>220</v>
      </c>
      <c r="D54" s="198">
        <v>0.55</v>
      </c>
      <c r="E54" s="180" t="s">
        <v>53</v>
      </c>
      <c r="F54" s="180"/>
      <c r="G54" s="180"/>
      <c r="H54" s="180"/>
      <c r="I54" s="180"/>
      <c r="J54" s="180"/>
      <c r="K54" s="180"/>
    </row>
    <row r="55" spans="1:11" ht="15">
      <c r="A55" s="165"/>
      <c r="B55" s="158"/>
      <c r="C55" s="180"/>
      <c r="D55" s="198"/>
      <c r="E55" s="180"/>
      <c r="F55" s="180"/>
      <c r="G55" s="180"/>
      <c r="H55" s="180"/>
      <c r="I55" s="180"/>
      <c r="J55" s="180"/>
      <c r="K55" s="180"/>
    </row>
    <row r="56" spans="1:11" ht="15">
      <c r="A56" s="165"/>
      <c r="B56" s="158"/>
      <c r="C56" s="180" t="s">
        <v>74</v>
      </c>
      <c r="D56" s="174" t="s">
        <v>46</v>
      </c>
      <c r="E56" s="180" t="str">
        <f>"1.2 x ( "&amp;(LEFT(F50,2)&amp;".L1 ")&amp;"- 1/2.Q.L^2) "</f>
        <v>1.2 x ( 2P.L1 - 1/2.Q.L^2) </v>
      </c>
      <c r="G56" s="169"/>
      <c r="I56" s="180"/>
      <c r="J56" s="180"/>
      <c r="K56" s="180"/>
    </row>
    <row r="57" spans="1:11" ht="15">
      <c r="A57" s="165"/>
      <c r="B57" s="158"/>
      <c r="C57" s="201"/>
      <c r="D57" s="174" t="s">
        <v>46</v>
      </c>
      <c r="E57" s="180" t="str">
        <f>"1.2 x ("&amp;F53&amp;"x"&amp;D53&amp;"-1/2x"&amp;$G$118&amp;"x"&amp;D54&amp;"^2)"</f>
        <v>1.2 x (50268x0,3-1/2x1320x0,55^2)</v>
      </c>
      <c r="I57" s="180"/>
      <c r="J57" s="180"/>
      <c r="K57" s="180"/>
    </row>
    <row r="58" spans="1:11" ht="15">
      <c r="A58" s="165"/>
      <c r="B58" s="158"/>
      <c r="C58" s="181"/>
      <c r="D58" s="187"/>
      <c r="E58" s="180"/>
      <c r="F58" s="202" t="s">
        <v>46</v>
      </c>
      <c r="G58" s="180">
        <f>1.2*((F53*D53)-(0.5*$G$118*D54^2))</f>
        <v>17856.899999999998</v>
      </c>
      <c r="H58" s="180" t="s">
        <v>69</v>
      </c>
      <c r="I58" s="180"/>
      <c r="J58" s="180"/>
      <c r="K58" s="180"/>
    </row>
    <row r="59" spans="1:11" ht="15">
      <c r="A59" s="165"/>
      <c r="B59" s="158"/>
      <c r="C59" s="180"/>
      <c r="D59" s="198"/>
      <c r="E59" s="180"/>
      <c r="F59" s="180"/>
      <c r="G59" s="180"/>
      <c r="H59" s="180"/>
      <c r="I59" s="180"/>
      <c r="J59" s="180"/>
      <c r="K59" s="180"/>
    </row>
    <row r="60" spans="1:11" ht="15" hidden="1">
      <c r="A60" s="165"/>
      <c r="B60" s="158"/>
      <c r="C60" s="192" t="s">
        <v>221</v>
      </c>
      <c r="D60" s="180"/>
      <c r="E60" s="180"/>
      <c r="F60" s="180"/>
      <c r="G60" s="180"/>
      <c r="H60" s="180"/>
      <c r="I60" s="180"/>
      <c r="J60" s="180"/>
      <c r="K60" s="180"/>
    </row>
    <row r="61" spans="1:11" ht="15" hidden="1">
      <c r="A61" s="165"/>
      <c r="B61" s="158"/>
      <c r="C61" s="180"/>
      <c r="D61" s="193"/>
      <c r="E61" s="193"/>
      <c r="H61" s="194" t="s">
        <v>217</v>
      </c>
      <c r="I61" s="195">
        <f>$G$118</f>
        <v>1320</v>
      </c>
      <c r="J61" s="180" t="str">
        <f>H132</f>
        <v>&gt;</v>
      </c>
      <c r="K61" s="180"/>
    </row>
    <row r="62" spans="1:11" ht="15" hidden="1">
      <c r="A62" s="165"/>
      <c r="B62" s="158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ht="15" hidden="1">
      <c r="A63" s="165"/>
      <c r="B63" s="158"/>
      <c r="C63" s="180"/>
      <c r="D63" s="193"/>
      <c r="E63" s="193"/>
      <c r="F63" s="180"/>
      <c r="G63" s="180"/>
      <c r="H63" s="180"/>
      <c r="I63" s="180"/>
      <c r="J63" s="180"/>
      <c r="K63" s="180"/>
    </row>
    <row r="64" spans="1:11" ht="15" hidden="1">
      <c r="A64" s="165"/>
      <c r="B64" s="158"/>
      <c r="C64" s="180"/>
      <c r="D64" s="193"/>
      <c r="E64" s="60" t="str">
        <f>D68&amp;" m"</f>
        <v>0,1 m</v>
      </c>
      <c r="F64" s="196" t="s">
        <v>222</v>
      </c>
      <c r="G64" s="196" t="s">
        <v>218</v>
      </c>
      <c r="H64" s="180"/>
      <c r="I64" s="180"/>
      <c r="J64" s="180"/>
      <c r="K64" s="180"/>
    </row>
    <row r="65" spans="1:11" ht="15" hidden="1">
      <c r="A65" s="165"/>
      <c r="B65" s="158"/>
      <c r="C65" s="180"/>
      <c r="D65" s="193"/>
      <c r="E65" s="60" t="str">
        <f>D69&amp;" m"</f>
        <v>0,2 m</v>
      </c>
      <c r="F65" s="196"/>
      <c r="G65" s="197"/>
      <c r="H65" s="180"/>
      <c r="I65" s="180"/>
      <c r="J65" s="180"/>
      <c r="K65" s="180"/>
    </row>
    <row r="66" spans="1:11" ht="15" hidden="1">
      <c r="A66" s="165"/>
      <c r="B66" s="158"/>
      <c r="C66" s="180"/>
      <c r="D66" s="193"/>
      <c r="E66" s="378" t="str">
        <f>D70&amp;" m"</f>
        <v>0,55 m</v>
      </c>
      <c r="F66" s="378"/>
      <c r="G66" s="180"/>
      <c r="H66" s="180"/>
      <c r="I66" s="180"/>
      <c r="J66" s="180"/>
      <c r="K66" s="180"/>
    </row>
    <row r="67" spans="1:11" ht="15" hidden="1">
      <c r="A67" s="165"/>
      <c r="B67" s="158"/>
      <c r="C67" s="180"/>
      <c r="D67" s="193"/>
      <c r="E67" s="193"/>
      <c r="F67" s="180"/>
      <c r="G67" s="180"/>
      <c r="H67" s="180"/>
      <c r="I67" s="180"/>
      <c r="J67" s="180"/>
      <c r="K67" s="180"/>
    </row>
    <row r="68" spans="1:11" ht="15" hidden="1">
      <c r="A68" s="165"/>
      <c r="B68" s="158"/>
      <c r="C68" s="180" t="s">
        <v>219</v>
      </c>
      <c r="D68" s="198">
        <v>0.1</v>
      </c>
      <c r="E68" s="199" t="str">
        <f>"m                            "&amp;F64&amp;" ="</f>
        <v>m                            1P =</v>
      </c>
      <c r="F68" s="200">
        <f>$F$10/$I$10*LEFT(F64,1)</f>
        <v>25134</v>
      </c>
      <c r="G68" s="199" t="s">
        <v>97</v>
      </c>
      <c r="H68" s="180"/>
      <c r="I68" s="199"/>
      <c r="J68" s="180"/>
      <c r="K68" s="180"/>
    </row>
    <row r="69" spans="1:11" ht="15" hidden="1">
      <c r="A69" s="165"/>
      <c r="B69" s="158"/>
      <c r="C69" s="199" t="s">
        <v>223</v>
      </c>
      <c r="D69" s="198">
        <v>0.2</v>
      </c>
      <c r="E69" s="199" t="str">
        <f>"m                            "&amp;G64&amp;" ="</f>
        <v>m                            2P =</v>
      </c>
      <c r="F69" s="200">
        <f>$F$10/$I$10*LEFT(G64,1)</f>
        <v>50268</v>
      </c>
      <c r="G69" s="199" t="s">
        <v>97</v>
      </c>
      <c r="H69" s="180"/>
      <c r="I69" s="199"/>
      <c r="J69" s="180"/>
      <c r="K69" s="180"/>
    </row>
    <row r="70" spans="1:11" ht="15" hidden="1">
      <c r="A70" s="165"/>
      <c r="B70" s="158"/>
      <c r="C70" s="180" t="s">
        <v>220</v>
      </c>
      <c r="D70" s="198">
        <v>0.55</v>
      </c>
      <c r="E70" s="180" t="s">
        <v>53</v>
      </c>
      <c r="F70" s="180"/>
      <c r="G70" s="180"/>
      <c r="H70" s="180"/>
      <c r="I70" s="180"/>
      <c r="J70" s="180"/>
      <c r="K70" s="180"/>
    </row>
    <row r="71" spans="1:11" ht="15" hidden="1">
      <c r="A71" s="165"/>
      <c r="B71" s="158"/>
      <c r="C71" s="180"/>
      <c r="D71" s="198"/>
      <c r="E71" s="180"/>
      <c r="F71" s="180"/>
      <c r="G71" s="180"/>
      <c r="H71" s="180"/>
      <c r="I71" s="180"/>
      <c r="J71" s="180"/>
      <c r="K71" s="180"/>
    </row>
    <row r="72" spans="1:11" ht="15" hidden="1">
      <c r="A72" s="165"/>
      <c r="B72" s="158"/>
      <c r="C72" s="180" t="s">
        <v>74</v>
      </c>
      <c r="D72" s="174" t="s">
        <v>46</v>
      </c>
      <c r="E72" s="180" t="str">
        <f>"1.2 x ( "&amp;(LEFT(F64,2)&amp;".L1+ ")&amp;(LEFT(G64,2)&amp;".L2 ")&amp;"- 1/2.Q.L^2) "</f>
        <v>1.2 x ( 1P.L1+ 2P.L2 - 1/2.Q.L^2) </v>
      </c>
      <c r="G72" s="169"/>
      <c r="I72" s="180"/>
      <c r="J72" s="180"/>
      <c r="K72" s="180"/>
    </row>
    <row r="73" spans="1:11" ht="15" hidden="1">
      <c r="A73" s="165"/>
      <c r="B73" s="158"/>
      <c r="C73" s="201"/>
      <c r="D73" s="174" t="s">
        <v>46</v>
      </c>
      <c r="E73" s="180" t="str">
        <f>"1.2 x ("&amp;F68&amp;"x"&amp;D68&amp;"+"&amp;F69&amp;"x"&amp;D69&amp;"-1/2x"&amp;$G$118&amp;"x"&amp;D70&amp;"^2)"</f>
        <v>1.2 x (25134x0,1+50268x0,2-1/2x1320x0,55^2)</v>
      </c>
      <c r="I73" s="180"/>
      <c r="J73" s="180"/>
      <c r="K73" s="180"/>
    </row>
    <row r="74" spans="1:11" ht="15" hidden="1">
      <c r="A74" s="165"/>
      <c r="B74" s="158"/>
      <c r="C74" s="181"/>
      <c r="D74" s="187"/>
      <c r="E74" s="180"/>
      <c r="F74" s="202" t="s">
        <v>46</v>
      </c>
      <c r="G74" s="180">
        <f>1.2*((F68*D68)+(F69*D69)-(0.5*$G$118*D70^2))</f>
        <v>14840.82</v>
      </c>
      <c r="H74" s="180" t="s">
        <v>69</v>
      </c>
      <c r="I74" s="180"/>
      <c r="J74" s="180"/>
      <c r="K74" s="180"/>
    </row>
    <row r="75" spans="1:11" ht="15" hidden="1">
      <c r="A75" s="165"/>
      <c r="B75" s="158"/>
      <c r="C75" s="180"/>
      <c r="D75" s="198"/>
      <c r="E75" s="180"/>
      <c r="F75" s="180"/>
      <c r="G75" s="180"/>
      <c r="H75" s="180"/>
      <c r="I75" s="180"/>
      <c r="J75" s="180"/>
      <c r="K75" s="180"/>
    </row>
    <row r="76" spans="1:11" ht="15" hidden="1">
      <c r="A76" s="165"/>
      <c r="B76" s="158"/>
      <c r="C76" s="180"/>
      <c r="D76" s="198"/>
      <c r="E76" s="180"/>
      <c r="F76" s="180"/>
      <c r="G76" s="180"/>
      <c r="H76" s="180"/>
      <c r="I76" s="180"/>
      <c r="J76" s="180"/>
      <c r="K76" s="180"/>
    </row>
    <row r="77" spans="1:11" ht="15" hidden="1">
      <c r="A77" s="165"/>
      <c r="B77" s="158"/>
      <c r="C77" s="192" t="s">
        <v>224</v>
      </c>
      <c r="D77" s="180"/>
      <c r="E77" s="180"/>
      <c r="F77" s="180"/>
      <c r="G77" s="180"/>
      <c r="H77" s="180"/>
      <c r="I77" s="180"/>
      <c r="J77" s="180"/>
      <c r="K77" s="180"/>
    </row>
    <row r="78" spans="1:11" ht="15" hidden="1">
      <c r="A78" s="165"/>
      <c r="B78" s="158"/>
      <c r="C78" s="180"/>
      <c r="D78" s="193"/>
      <c r="E78" s="193"/>
      <c r="H78" s="194"/>
      <c r="I78" s="180"/>
      <c r="J78" s="180"/>
      <c r="K78" s="180"/>
    </row>
    <row r="79" spans="1:11" ht="15" hidden="1">
      <c r="A79" s="165"/>
      <c r="B79" s="158"/>
      <c r="C79" s="180"/>
      <c r="D79" s="180"/>
      <c r="E79" s="180"/>
      <c r="F79" s="180"/>
      <c r="G79" s="180"/>
      <c r="H79" s="180"/>
      <c r="I79" s="180"/>
      <c r="J79" s="180"/>
      <c r="K79" s="180"/>
    </row>
    <row r="80" spans="1:11" ht="15" hidden="1">
      <c r="A80" s="165"/>
      <c r="B80" s="158"/>
      <c r="C80" s="180"/>
      <c r="D80" s="193"/>
      <c r="E80" s="193"/>
      <c r="F80" s="180"/>
      <c r="G80" s="180"/>
      <c r="H80" s="180"/>
      <c r="I80" s="180"/>
      <c r="J80" s="180"/>
      <c r="K80" s="180"/>
    </row>
    <row r="81" spans="1:11" ht="15" hidden="1">
      <c r="A81" s="165"/>
      <c r="B81" s="158"/>
      <c r="C81" s="180"/>
      <c r="D81" s="193"/>
      <c r="E81" s="60" t="str">
        <f>D86&amp;" m"</f>
        <v>0,1 m</v>
      </c>
      <c r="F81" s="196" t="s">
        <v>222</v>
      </c>
      <c r="G81" s="196" t="s">
        <v>218</v>
      </c>
      <c r="H81" s="196" t="s">
        <v>225</v>
      </c>
      <c r="I81" s="180"/>
      <c r="J81" s="180"/>
      <c r="K81" s="180"/>
    </row>
    <row r="82" spans="1:11" ht="15" hidden="1">
      <c r="A82" s="165"/>
      <c r="B82" s="158"/>
      <c r="C82" s="180"/>
      <c r="D82" s="193"/>
      <c r="E82" s="60" t="str">
        <f>D87&amp;" m"</f>
        <v>0,2 m</v>
      </c>
      <c r="F82" s="196"/>
      <c r="G82" s="197"/>
      <c r="H82" s="180"/>
      <c r="I82" s="180"/>
      <c r="J82" s="180"/>
      <c r="K82" s="180"/>
    </row>
    <row r="83" spans="1:11" ht="15" hidden="1">
      <c r="A83" s="165"/>
      <c r="B83" s="158"/>
      <c r="C83" s="180"/>
      <c r="D83" s="193"/>
      <c r="E83" s="60" t="str">
        <f>D88&amp;" m"</f>
        <v>0,3 m</v>
      </c>
      <c r="F83" s="196"/>
      <c r="G83" s="197"/>
      <c r="H83" s="180"/>
      <c r="I83" s="180"/>
      <c r="J83" s="180"/>
      <c r="K83" s="180"/>
    </row>
    <row r="84" spans="1:11" ht="15" hidden="1">
      <c r="A84" s="165"/>
      <c r="B84" s="158"/>
      <c r="C84" s="180"/>
      <c r="D84" s="193"/>
      <c r="E84" s="378" t="str">
        <f>D89&amp;" m"</f>
        <v>0,55 m</v>
      </c>
      <c r="F84" s="378"/>
      <c r="G84" s="180"/>
      <c r="H84" s="180"/>
      <c r="I84" s="180"/>
      <c r="J84" s="180"/>
      <c r="K84" s="180"/>
    </row>
    <row r="85" spans="1:11" ht="15" hidden="1">
      <c r="A85" s="165"/>
      <c r="B85" s="158"/>
      <c r="C85" s="180"/>
      <c r="D85" s="193"/>
      <c r="E85" s="193"/>
      <c r="F85" s="180"/>
      <c r="G85" s="180"/>
      <c r="H85" s="180"/>
      <c r="I85" s="180"/>
      <c r="J85" s="180"/>
      <c r="K85" s="180"/>
    </row>
    <row r="86" spans="1:11" ht="15" hidden="1">
      <c r="A86" s="165"/>
      <c r="B86" s="158"/>
      <c r="C86" s="180" t="s">
        <v>219</v>
      </c>
      <c r="D86" s="198">
        <v>0.1</v>
      </c>
      <c r="E86" s="199" t="str">
        <f>"m                            "&amp;F81&amp;" ="</f>
        <v>m                            1P =</v>
      </c>
      <c r="F86" s="200">
        <f>$F$10/$I$10*LEFT(F81,1)</f>
        <v>25134</v>
      </c>
      <c r="G86" s="199" t="s">
        <v>97</v>
      </c>
      <c r="H86" s="180"/>
      <c r="I86" s="180"/>
      <c r="J86" s="180"/>
      <c r="K86" s="180"/>
    </row>
    <row r="87" spans="1:11" ht="15" hidden="1">
      <c r="A87" s="165"/>
      <c r="B87" s="158"/>
      <c r="C87" s="199" t="s">
        <v>223</v>
      </c>
      <c r="D87" s="198">
        <v>0.2</v>
      </c>
      <c r="E87" s="199" t="str">
        <f>"m                            "&amp;G81&amp;" ="</f>
        <v>m                            2P =</v>
      </c>
      <c r="F87" s="200">
        <f>$F$10/$I$10*LEFT(G81,1)</f>
        <v>50268</v>
      </c>
      <c r="G87" s="199" t="s">
        <v>97</v>
      </c>
      <c r="H87" s="180"/>
      <c r="I87" s="180"/>
      <c r="J87" s="180"/>
      <c r="K87" s="180"/>
    </row>
    <row r="88" spans="1:11" ht="15" hidden="1">
      <c r="A88" s="165"/>
      <c r="B88" s="158"/>
      <c r="C88" s="199" t="s">
        <v>226</v>
      </c>
      <c r="D88" s="198">
        <v>0.3</v>
      </c>
      <c r="E88" s="199" t="str">
        <f>"m                            "&amp;H81&amp;" ="</f>
        <v>m                            3P =</v>
      </c>
      <c r="F88" s="200">
        <f>$F$10/$I$10*LEFT(H81,1)</f>
        <v>75402</v>
      </c>
      <c r="G88" s="199" t="s">
        <v>97</v>
      </c>
      <c r="H88" s="180"/>
      <c r="I88" s="180"/>
      <c r="J88" s="180"/>
      <c r="K88" s="180"/>
    </row>
    <row r="89" spans="1:11" ht="15" hidden="1">
      <c r="A89" s="165"/>
      <c r="B89" s="158"/>
      <c r="C89" s="180" t="s">
        <v>220</v>
      </c>
      <c r="D89" s="198">
        <v>0.55</v>
      </c>
      <c r="E89" s="180" t="s">
        <v>53</v>
      </c>
      <c r="F89" s="180"/>
      <c r="G89" s="180"/>
      <c r="H89" s="180"/>
      <c r="I89" s="180"/>
      <c r="J89" s="180"/>
      <c r="K89" s="180"/>
    </row>
    <row r="90" spans="1:11" ht="15" hidden="1">
      <c r="A90" s="165"/>
      <c r="B90" s="158"/>
      <c r="C90" s="180"/>
      <c r="D90" s="198"/>
      <c r="E90" s="180"/>
      <c r="F90" s="180"/>
      <c r="G90" s="180"/>
      <c r="H90" s="180"/>
      <c r="I90" s="180"/>
      <c r="J90" s="180"/>
      <c r="K90" s="180"/>
    </row>
    <row r="91" spans="1:11" ht="15" hidden="1">
      <c r="A91" s="165"/>
      <c r="B91" s="158"/>
      <c r="C91" s="180" t="s">
        <v>74</v>
      </c>
      <c r="D91" s="174" t="s">
        <v>46</v>
      </c>
      <c r="E91" s="180" t="str">
        <f>"1.2 x ( "&amp;(LEFT(F81,2)&amp;".L1+ ")&amp;(LEFT(G81,2)&amp;".L2+ ")&amp;(LEFT(H81,2)&amp;".L3 ")&amp;"- 1/2.Q.L^2) "</f>
        <v>1.2 x ( 1P.L1+ 2P.L2+ 3P.L3 - 1/2.Q.L^2) </v>
      </c>
      <c r="G91" s="169"/>
      <c r="I91" s="180"/>
      <c r="J91" s="180"/>
      <c r="K91" s="180"/>
    </row>
    <row r="92" spans="1:11" ht="15" hidden="1">
      <c r="A92" s="165"/>
      <c r="B92" s="158"/>
      <c r="C92" s="201"/>
      <c r="D92" s="174" t="s">
        <v>46</v>
      </c>
      <c r="E92" s="180" t="str">
        <f>"1.2 x ("&amp;F86&amp;"x"&amp;D86&amp;"+"&amp;F87&amp;"x"&amp;D87&amp;"+"&amp;F88&amp;"x"&amp;D88&amp;"-1/2x"&amp;$G$118&amp;"x"&amp;D89&amp;"^2)"</f>
        <v>1.2 x (25134x0,1+50268x0,2+75402x0,3-1/2x1320x0,55^2)</v>
      </c>
      <c r="I92" s="180"/>
      <c r="J92" s="180"/>
      <c r="K92" s="180"/>
    </row>
    <row r="93" spans="1:11" ht="15" hidden="1">
      <c r="A93" s="165"/>
      <c r="B93" s="158"/>
      <c r="C93" s="181"/>
      <c r="D93" s="187"/>
      <c r="E93" s="180"/>
      <c r="F93" s="202" t="s">
        <v>46</v>
      </c>
      <c r="G93" s="180">
        <f>1.2*((F86*D86)+(F87*D87)+(F88*D88)-(0.5*$G$118*D89^2))</f>
        <v>41985.53999999999</v>
      </c>
      <c r="H93" s="180" t="s">
        <v>69</v>
      </c>
      <c r="I93" s="180"/>
      <c r="J93" s="180"/>
      <c r="K93" s="180"/>
    </row>
    <row r="94" spans="1:11" ht="15" hidden="1">
      <c r="A94" s="165"/>
      <c r="B94" s="158"/>
      <c r="C94" s="181"/>
      <c r="D94" s="187"/>
      <c r="E94" s="180"/>
      <c r="F94" s="202"/>
      <c r="G94" s="180"/>
      <c r="H94" s="180"/>
      <c r="I94" s="180"/>
      <c r="J94" s="180"/>
      <c r="K94" s="180"/>
    </row>
    <row r="95" spans="1:11" ht="15" hidden="1">
      <c r="A95" s="165"/>
      <c r="B95" s="158"/>
      <c r="C95" s="192" t="s">
        <v>227</v>
      </c>
      <c r="D95" s="180"/>
      <c r="E95" s="180"/>
      <c r="F95" s="180"/>
      <c r="G95" s="180"/>
      <c r="H95" s="180"/>
      <c r="I95" s="180"/>
      <c r="J95" s="180"/>
      <c r="K95" s="180"/>
    </row>
    <row r="96" spans="1:11" ht="15" hidden="1">
      <c r="A96" s="165"/>
      <c r="B96" s="158"/>
      <c r="C96" s="180"/>
      <c r="D96" s="193"/>
      <c r="E96" s="193"/>
      <c r="H96" s="194"/>
      <c r="I96" s="180"/>
      <c r="J96" s="180"/>
      <c r="K96" s="180"/>
    </row>
    <row r="97" spans="1:11" ht="15" hidden="1">
      <c r="A97" s="165"/>
      <c r="B97" s="158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1:11" ht="15" hidden="1">
      <c r="A98" s="165"/>
      <c r="B98" s="158"/>
      <c r="C98" s="180"/>
      <c r="D98" s="193"/>
      <c r="E98" s="193"/>
      <c r="F98" s="180"/>
      <c r="G98" s="180"/>
      <c r="H98" s="180"/>
      <c r="I98" s="180"/>
      <c r="J98" s="180"/>
      <c r="K98" s="180"/>
    </row>
    <row r="99" spans="1:11" ht="15" hidden="1">
      <c r="A99" s="165"/>
      <c r="B99" s="158"/>
      <c r="C99" s="180"/>
      <c r="D99" s="193"/>
      <c r="E99" s="60" t="str">
        <f>D105&amp;" m"</f>
        <v>0,1 m</v>
      </c>
      <c r="F99" s="196" t="s">
        <v>222</v>
      </c>
      <c r="G99" s="196" t="s">
        <v>218</v>
      </c>
      <c r="H99" s="196" t="s">
        <v>225</v>
      </c>
      <c r="I99" s="196" t="s">
        <v>228</v>
      </c>
      <c r="J99" s="180"/>
      <c r="K99" s="180"/>
    </row>
    <row r="100" spans="1:11" ht="15" hidden="1">
      <c r="A100" s="165"/>
      <c r="B100" s="158"/>
      <c r="C100" s="180"/>
      <c r="D100" s="193"/>
      <c r="E100" s="60" t="str">
        <f>D106&amp;" m"</f>
        <v>0,2 m</v>
      </c>
      <c r="F100" s="196"/>
      <c r="G100" s="197"/>
      <c r="H100" s="180"/>
      <c r="I100" s="180"/>
      <c r="J100" s="180"/>
      <c r="K100" s="180"/>
    </row>
    <row r="101" spans="1:11" ht="15" hidden="1">
      <c r="A101" s="165"/>
      <c r="B101" s="158"/>
      <c r="C101" s="180"/>
      <c r="D101" s="193"/>
      <c r="E101" s="60" t="str">
        <f>D107&amp;" m"</f>
        <v>0,3 m</v>
      </c>
      <c r="F101" s="196"/>
      <c r="G101" s="197"/>
      <c r="H101" s="180"/>
      <c r="I101" s="180"/>
      <c r="J101" s="180"/>
      <c r="K101" s="180"/>
    </row>
    <row r="102" spans="1:11" ht="15" hidden="1">
      <c r="A102" s="165"/>
      <c r="B102" s="158"/>
      <c r="C102" s="180"/>
      <c r="D102" s="193"/>
      <c r="E102" s="60" t="str">
        <f>D108&amp;" m"</f>
        <v>0,4 m</v>
      </c>
      <c r="F102" s="196"/>
      <c r="G102" s="197"/>
      <c r="H102" s="180"/>
      <c r="I102" s="180"/>
      <c r="J102" s="180"/>
      <c r="K102" s="180"/>
    </row>
    <row r="103" spans="1:11" ht="15" hidden="1">
      <c r="A103" s="165"/>
      <c r="B103" s="158"/>
      <c r="C103" s="180"/>
      <c r="D103" s="193"/>
      <c r="E103" s="378" t="str">
        <f>D109&amp;" m"</f>
        <v>0,55 m</v>
      </c>
      <c r="F103" s="378"/>
      <c r="G103" s="180"/>
      <c r="H103" s="180"/>
      <c r="I103" s="180"/>
      <c r="J103" s="180"/>
      <c r="K103" s="180"/>
    </row>
    <row r="104" spans="1:11" ht="15" hidden="1">
      <c r="A104" s="165"/>
      <c r="B104" s="158"/>
      <c r="C104" s="180"/>
      <c r="D104" s="193"/>
      <c r="E104" s="193"/>
      <c r="F104" s="180"/>
      <c r="G104" s="180"/>
      <c r="H104" s="180"/>
      <c r="I104" s="180"/>
      <c r="J104" s="180"/>
      <c r="K104" s="180"/>
    </row>
    <row r="105" spans="1:11" ht="15" hidden="1">
      <c r="A105" s="165"/>
      <c r="B105" s="158"/>
      <c r="C105" s="180" t="s">
        <v>219</v>
      </c>
      <c r="D105" s="198">
        <v>0.1</v>
      </c>
      <c r="E105" s="199" t="str">
        <f>"m                            "&amp;F99&amp;" ="</f>
        <v>m                            1P =</v>
      </c>
      <c r="F105" s="200">
        <f>$F$10/$I$10*LEFT(F99,1)</f>
        <v>25134</v>
      </c>
      <c r="G105" s="199" t="s">
        <v>97</v>
      </c>
      <c r="H105" s="180"/>
      <c r="I105" s="180"/>
      <c r="J105" s="180"/>
      <c r="K105" s="180"/>
    </row>
    <row r="106" spans="1:11" ht="15" hidden="1">
      <c r="A106" s="165"/>
      <c r="B106" s="158"/>
      <c r="C106" s="199" t="s">
        <v>223</v>
      </c>
      <c r="D106" s="198">
        <v>0.2</v>
      </c>
      <c r="E106" s="199" t="str">
        <f>"m                            "&amp;G99&amp;" ="</f>
        <v>m                            2P =</v>
      </c>
      <c r="F106" s="200">
        <f>$F$10/$I$10*LEFT(G99,1)</f>
        <v>50268</v>
      </c>
      <c r="G106" s="199" t="s">
        <v>97</v>
      </c>
      <c r="H106" s="180"/>
      <c r="I106" s="180"/>
      <c r="J106" s="180"/>
      <c r="K106" s="180"/>
    </row>
    <row r="107" spans="1:11" ht="15" hidden="1">
      <c r="A107" s="165"/>
      <c r="B107" s="158"/>
      <c r="C107" s="199" t="s">
        <v>226</v>
      </c>
      <c r="D107" s="198">
        <v>0.3</v>
      </c>
      <c r="E107" s="199" t="str">
        <f>"m                            "&amp;H99&amp;" ="</f>
        <v>m                            3P =</v>
      </c>
      <c r="F107" s="200">
        <f>$F$10/$I$10*LEFT(H99,1)</f>
        <v>75402</v>
      </c>
      <c r="G107" s="199" t="s">
        <v>97</v>
      </c>
      <c r="H107" s="180"/>
      <c r="I107" s="180"/>
      <c r="J107" s="180"/>
      <c r="K107" s="180"/>
    </row>
    <row r="108" spans="1:11" ht="15" hidden="1">
      <c r="A108" s="165"/>
      <c r="B108" s="158"/>
      <c r="C108" s="199" t="s">
        <v>229</v>
      </c>
      <c r="D108" s="198">
        <v>0.4</v>
      </c>
      <c r="E108" s="199" t="str">
        <f>"m                            "&amp;I99&amp;" ="</f>
        <v>m                            4P =</v>
      </c>
      <c r="F108" s="200">
        <f>$F$10/$I$10*LEFT(I99,1)</f>
        <v>100536</v>
      </c>
      <c r="G108" s="199" t="s">
        <v>97</v>
      </c>
      <c r="H108" s="180"/>
      <c r="I108" s="180"/>
      <c r="J108" s="180"/>
      <c r="K108" s="180"/>
    </row>
    <row r="109" spans="1:11" ht="15" hidden="1">
      <c r="A109" s="165"/>
      <c r="B109" s="158"/>
      <c r="C109" s="180" t="s">
        <v>220</v>
      </c>
      <c r="D109" s="198">
        <v>0.55</v>
      </c>
      <c r="E109" s="180" t="s">
        <v>53</v>
      </c>
      <c r="F109" s="180"/>
      <c r="G109" s="180"/>
      <c r="H109" s="180"/>
      <c r="I109" s="180"/>
      <c r="J109" s="180"/>
      <c r="K109" s="180"/>
    </row>
    <row r="110" spans="1:11" ht="15" hidden="1">
      <c r="A110" s="165"/>
      <c r="B110" s="158"/>
      <c r="C110" s="180"/>
      <c r="D110" s="198"/>
      <c r="E110" s="180"/>
      <c r="F110" s="180"/>
      <c r="G110" s="180"/>
      <c r="H110" s="180"/>
      <c r="I110" s="180"/>
      <c r="J110" s="180"/>
      <c r="K110" s="180"/>
    </row>
    <row r="111" spans="1:11" ht="15" hidden="1">
      <c r="A111" s="165"/>
      <c r="B111" s="158"/>
      <c r="C111" s="180" t="s">
        <v>74</v>
      </c>
      <c r="D111" s="174" t="s">
        <v>46</v>
      </c>
      <c r="E111" s="180" t="str">
        <f>"1.2 x ( "&amp;(LEFT(F99,2)&amp;".L1+ ")&amp;(LEFT(G99,2)&amp;".L2+ ")&amp;(LEFT(H99,2)&amp;".L3+ ")&amp;(LEFT(I99,2)&amp;".L4 ")&amp;"- 1/2.Q.L^2) "</f>
        <v>1.2 x ( 1P.L1+ 2P.L2+ 3P.L3+ 4P.L4 - 1/2.Q.L^2) </v>
      </c>
      <c r="G111" s="169"/>
      <c r="I111" s="180"/>
      <c r="J111" s="180"/>
      <c r="K111" s="180"/>
    </row>
    <row r="112" spans="1:11" ht="15" hidden="1">
      <c r="A112" s="165"/>
      <c r="B112" s="158"/>
      <c r="C112" s="201"/>
      <c r="D112" s="174" t="s">
        <v>46</v>
      </c>
      <c r="E112" s="180" t="str">
        <f>"1.2 x ("&amp;F105&amp;"x"&amp;D105&amp;"+"&amp;F106&amp;"x"&amp;D106&amp;"+"&amp;F107&amp;"x"&amp;D107&amp;"+"&amp;F108&amp;"x"&amp;D108&amp;"-1/2x"&amp;$G$118&amp;"x"&amp;D109&amp;"^2)"</f>
        <v>1.2 x (25134x0,1+50268x0,2+75402x0,3+100536x0,4-1/2x1320x0,55^2)</v>
      </c>
      <c r="I112" s="180"/>
      <c r="J112" s="180"/>
      <c r="K112" s="180"/>
    </row>
    <row r="113" spans="1:11" ht="15" hidden="1">
      <c r="A113" s="165"/>
      <c r="B113" s="158"/>
      <c r="C113" s="181"/>
      <c r="D113" s="187"/>
      <c r="E113" s="180"/>
      <c r="F113" s="202" t="s">
        <v>46</v>
      </c>
      <c r="G113" s="180">
        <f>1.2*((F105*D105)+(F106*D106)+(F107*D107)+(F108*D108)-(0.5*$G$118*D109^2))</f>
        <v>90242.82</v>
      </c>
      <c r="H113" s="180" t="s">
        <v>69</v>
      </c>
      <c r="I113" s="180"/>
      <c r="J113" s="180"/>
      <c r="K113" s="180"/>
    </row>
    <row r="114" spans="1:11" ht="15" hidden="1">
      <c r="A114" s="165"/>
      <c r="B114" s="158"/>
      <c r="C114" s="181"/>
      <c r="D114" s="187"/>
      <c r="E114" s="180"/>
      <c r="F114" s="202"/>
      <c r="G114" s="180"/>
      <c r="H114" s="180"/>
      <c r="I114" s="180"/>
      <c r="J114" s="180"/>
      <c r="K114" s="180"/>
    </row>
    <row r="115" spans="1:11" ht="15" hidden="1">
      <c r="A115" s="165"/>
      <c r="B115" s="158"/>
      <c r="C115" s="203" t="s">
        <v>230</v>
      </c>
      <c r="D115" s="187"/>
      <c r="E115" s="180"/>
      <c r="F115" s="190" t="s">
        <v>46</v>
      </c>
      <c r="G115" s="204">
        <v>1</v>
      </c>
      <c r="H115" s="180"/>
      <c r="I115" s="180"/>
      <c r="J115" s="180"/>
      <c r="K115" s="180"/>
    </row>
    <row r="116" spans="1:11" ht="15" hidden="1">
      <c r="A116" s="165"/>
      <c r="B116" s="158"/>
      <c r="C116" s="181"/>
      <c r="D116" s="187"/>
      <c r="E116" s="180"/>
      <c r="F116" s="202"/>
      <c r="G116" s="180"/>
      <c r="H116" s="180"/>
      <c r="I116" s="180"/>
      <c r="J116" s="180"/>
      <c r="K116" s="180"/>
    </row>
    <row r="117" spans="1:11" ht="15">
      <c r="A117" s="165"/>
      <c r="B117" s="158"/>
      <c r="C117" s="180" t="s">
        <v>231</v>
      </c>
      <c r="D117" s="180"/>
      <c r="F117" s="202"/>
      <c r="I117" s="180"/>
      <c r="J117" s="180"/>
      <c r="K117" s="180"/>
    </row>
    <row r="118" spans="1:11" ht="15">
      <c r="A118" s="165"/>
      <c r="B118" s="158"/>
      <c r="C118" s="180"/>
      <c r="D118" s="202" t="s">
        <v>46</v>
      </c>
      <c r="E118" s="169" t="str">
        <f>J41/1000&amp;" x "&amp;J42/1000&amp;" x 2400"</f>
        <v>0,5 x 1,1 x 2400</v>
      </c>
      <c r="F118" s="202" t="s">
        <v>46</v>
      </c>
      <c r="G118" s="189">
        <f>J41/1000*J42/1000*2400</f>
        <v>1320</v>
      </c>
      <c r="H118" s="180" t="s">
        <v>232</v>
      </c>
      <c r="I118" s="180"/>
      <c r="J118" s="180"/>
      <c r="K118" s="180"/>
    </row>
    <row r="119" spans="1:11" ht="15">
      <c r="A119" s="165"/>
      <c r="B119" s="158"/>
      <c r="C119" s="180"/>
      <c r="D119" s="202"/>
      <c r="F119" s="202"/>
      <c r="G119" s="180"/>
      <c r="H119" s="180"/>
      <c r="I119" s="180"/>
      <c r="J119" s="180"/>
      <c r="K119" s="180"/>
    </row>
    <row r="120" spans="1:11" ht="15">
      <c r="A120" s="165"/>
      <c r="B120" s="158"/>
      <c r="C120" s="191" t="str">
        <f>"pmin"</f>
        <v>pmin</v>
      </c>
      <c r="D120" s="205" t="s">
        <v>46</v>
      </c>
      <c r="E120" s="191"/>
      <c r="F120" s="202" t="s">
        <v>46</v>
      </c>
      <c r="G120" s="206">
        <v>0.0025</v>
      </c>
      <c r="H120" s="180"/>
      <c r="I120" s="180"/>
      <c r="J120" s="180"/>
      <c r="K120" s="180"/>
    </row>
    <row r="121" spans="1:11" ht="15">
      <c r="A121" s="165"/>
      <c r="B121" s="158"/>
      <c r="C121" s="180" t="str">
        <f>"pmaks"</f>
        <v>pmaks</v>
      </c>
      <c r="D121" s="205" t="s">
        <v>46</v>
      </c>
      <c r="E121" s="180" t="str">
        <f>"0,75 x (0,85 x "&amp;F41&amp;")/"&amp;F42&amp;" x 0,85 x [600/(600+"&amp;F42&amp;")]"</f>
        <v>0,75 x (0,85 x 25)/350 x 0,85 x [600/(600+350)]</v>
      </c>
      <c r="F121" s="180"/>
      <c r="G121" s="180"/>
      <c r="H121" s="180"/>
      <c r="I121" s="180"/>
      <c r="J121" s="180"/>
      <c r="K121" s="180"/>
    </row>
    <row r="122" spans="1:11" ht="15">
      <c r="A122" s="165"/>
      <c r="B122" s="158"/>
      <c r="C122" s="180"/>
      <c r="D122" s="180"/>
      <c r="E122" s="180"/>
      <c r="F122" s="202" t="s">
        <v>46</v>
      </c>
      <c r="G122" s="206">
        <f>0.75*(0.85*F41)/F42*0.85*(600/(600+F42))</f>
        <v>0.024445488721804506</v>
      </c>
      <c r="H122" s="180"/>
      <c r="I122" s="180"/>
      <c r="J122" s="180"/>
      <c r="K122" s="180"/>
    </row>
    <row r="123" spans="1:11" ht="15">
      <c r="A123" s="165"/>
      <c r="B123" s="158"/>
      <c r="C123" s="180"/>
      <c r="D123" s="180"/>
      <c r="E123" s="180"/>
      <c r="F123" s="202"/>
      <c r="G123" s="206"/>
      <c r="H123" s="180"/>
      <c r="I123" s="180"/>
      <c r="J123" s="180"/>
      <c r="K123" s="180"/>
    </row>
    <row r="124" spans="1:11" ht="15">
      <c r="A124" s="165"/>
      <c r="B124" s="158"/>
      <c r="C124" s="180" t="str">
        <f>"Mu"</f>
        <v>Mu</v>
      </c>
      <c r="D124" s="205" t="s">
        <v>46</v>
      </c>
      <c r="E124" s="180" t="str">
        <f>IF(G115=1,G58,IF(G115=2,G74,IF(G115=3,G93,IF(G115=4,G113,0))))&amp;" kgm"</f>
        <v>17856,9 kgm</v>
      </c>
      <c r="F124" s="202" t="s">
        <v>46</v>
      </c>
      <c r="G124" s="207">
        <f>IF(G115=1,G58,IF(G115=2,G74,IF(G115=3,G93,IF(G115=4,G113,0))))/100</f>
        <v>178.569</v>
      </c>
      <c r="H124" s="180" t="s">
        <v>73</v>
      </c>
      <c r="I124" s="180"/>
      <c r="J124" s="180"/>
      <c r="K124" s="180"/>
    </row>
    <row r="125" spans="1:11" ht="15">
      <c r="A125" s="165"/>
      <c r="B125" s="158"/>
      <c r="C125" s="180" t="str">
        <f>"d "</f>
        <v>d </v>
      </c>
      <c r="D125" s="205" t="s">
        <v>46</v>
      </c>
      <c r="E125" s="180" t="str">
        <f>J41&amp;" - "&amp;F43</f>
        <v>500 - 60</v>
      </c>
      <c r="F125" s="202" t="s">
        <v>46</v>
      </c>
      <c r="G125" s="180">
        <f>J41-F43</f>
        <v>440</v>
      </c>
      <c r="H125" s="180" t="s">
        <v>71</v>
      </c>
      <c r="I125" s="180"/>
      <c r="J125" s="180"/>
      <c r="K125" s="180"/>
    </row>
    <row r="126" spans="1:11" ht="15">
      <c r="A126" s="165"/>
      <c r="B126" s="158"/>
      <c r="C126" s="208" t="s">
        <v>81</v>
      </c>
      <c r="D126" s="202" t="s">
        <v>46</v>
      </c>
      <c r="E126" s="182">
        <v>0.8</v>
      </c>
      <c r="F126" s="180"/>
      <c r="G126" s="180"/>
      <c r="H126" s="180"/>
      <c r="I126" s="180"/>
      <c r="J126" s="180"/>
      <c r="K126" s="180"/>
    </row>
    <row r="127" spans="1:11" ht="15">
      <c r="A127" s="165"/>
      <c r="B127" s="158"/>
      <c r="C127" s="208"/>
      <c r="D127" s="202"/>
      <c r="E127" s="182"/>
      <c r="F127" s="180"/>
      <c r="G127" s="180"/>
      <c r="H127" s="180"/>
      <c r="I127" s="180"/>
      <c r="J127" s="180"/>
      <c r="K127" s="180"/>
    </row>
    <row r="128" spans="1:11" ht="15">
      <c r="A128" s="165"/>
      <c r="B128" s="158"/>
      <c r="C128" s="180" t="str">
        <f>"Rn"</f>
        <v>Rn</v>
      </c>
      <c r="D128" s="202" t="s">
        <v>46</v>
      </c>
      <c r="E128" s="209" t="str">
        <f>"("&amp;FIXED(G124,2)&amp;" x 10^6)"</f>
        <v>(178,57 x 10^6)</v>
      </c>
      <c r="F128" s="202" t="s">
        <v>46</v>
      </c>
      <c r="G128" s="206">
        <f>(G124*10^6)/(0.8*J42*G125^2)</f>
        <v>1.0481369740796393</v>
      </c>
      <c r="H128" s="180" t="s">
        <v>44</v>
      </c>
      <c r="I128" s="180"/>
      <c r="J128" s="180"/>
      <c r="K128" s="180"/>
    </row>
    <row r="129" spans="1:11" ht="15">
      <c r="A129" s="165"/>
      <c r="B129" s="158"/>
      <c r="C129" s="180"/>
      <c r="D129" s="180"/>
      <c r="E129" s="202" t="str">
        <f>"(0,8 x "&amp;J42&amp;" x "&amp;G125&amp;"^2)"</f>
        <v>(0,8 x 1100 x 440^2)</v>
      </c>
      <c r="F129" s="180"/>
      <c r="G129" s="180"/>
      <c r="H129" s="180"/>
      <c r="I129" s="180"/>
      <c r="J129" s="180"/>
      <c r="K129" s="180"/>
    </row>
    <row r="130" spans="1:11" ht="15">
      <c r="A130" s="165"/>
      <c r="B130" s="158"/>
      <c r="C130" s="180" t="s">
        <v>82</v>
      </c>
      <c r="D130" s="202" t="s">
        <v>46</v>
      </c>
      <c r="E130" s="180" t="str">
        <f>"0,85  { 1 -sqrt[1 - (2,353 x "&amp;FIXED(G128,4)&amp;")/"&amp;F41&amp;"]}"</f>
        <v>0,85  { 1 -sqrt[1 - (2,353 x 1,0481)/25]}</v>
      </c>
      <c r="F130" s="180"/>
      <c r="G130" s="180"/>
      <c r="H130" s="180"/>
      <c r="I130" s="180"/>
      <c r="J130" s="180"/>
      <c r="K130" s="180"/>
    </row>
    <row r="131" spans="1:11" ht="15">
      <c r="A131" s="165"/>
      <c r="B131" s="158"/>
      <c r="C131" s="180"/>
      <c r="D131" s="180"/>
      <c r="E131" s="180"/>
      <c r="F131" s="202" t="s">
        <v>46</v>
      </c>
      <c r="G131" s="206">
        <f>0.85*(1-SQRT(1-(2.353*G128)/F41))</f>
        <v>0.043014929549667215</v>
      </c>
      <c r="H131" s="180"/>
      <c r="I131" s="180"/>
      <c r="J131" s="180"/>
      <c r="K131" s="180"/>
    </row>
    <row r="132" spans="1:11" ht="15">
      <c r="A132" s="165"/>
      <c r="B132" s="158"/>
      <c r="C132" s="180" t="str">
        <f>"p = "&amp;FIXED(G131,4)&amp;" x "&amp;F41&amp;"/"&amp;F42</f>
        <v>p = 0,0430 x 25/350</v>
      </c>
      <c r="D132" s="180"/>
      <c r="E132" s="180"/>
      <c r="F132" s="202" t="s">
        <v>46</v>
      </c>
      <c r="G132" s="206">
        <f>G131*F41/F42</f>
        <v>0.0030724949678333723</v>
      </c>
      <c r="H132" s="202" t="s">
        <v>233</v>
      </c>
      <c r="I132" s="206">
        <f>G120</f>
        <v>0.0025</v>
      </c>
      <c r="J132" s="180"/>
      <c r="K132" s="180"/>
    </row>
    <row r="133" spans="1:11" ht="15">
      <c r="A133" s="165"/>
      <c r="B133" s="158"/>
      <c r="C133" s="180"/>
      <c r="D133" s="180"/>
      <c r="E133" s="180"/>
      <c r="F133" s="180"/>
      <c r="G133" s="180"/>
      <c r="H133" s="202" t="s">
        <v>96</v>
      </c>
      <c r="I133" s="206">
        <f>G122</f>
        <v>0.024445488721804506</v>
      </c>
      <c r="J133" s="180"/>
      <c r="K133" s="180"/>
    </row>
    <row r="134" spans="1:11" ht="15">
      <c r="A134" s="165"/>
      <c r="B134" s="158"/>
      <c r="C134" s="180"/>
      <c r="D134" s="180"/>
      <c r="E134" s="194" t="s">
        <v>75</v>
      </c>
      <c r="F134" s="202" t="s">
        <v>46</v>
      </c>
      <c r="G134" s="210">
        <f>IF(G132&lt;I132,I132,IF(G132&gt;I133,"ganti dimensi",G132))</f>
        <v>0.0030724949678333723</v>
      </c>
      <c r="H134" s="180"/>
      <c r="I134" s="180"/>
      <c r="J134" s="180"/>
      <c r="K134" s="180"/>
    </row>
    <row r="135" spans="1:11" ht="15">
      <c r="A135" s="165"/>
      <c r="B135" s="158"/>
      <c r="C135" s="180" t="str">
        <f>"As = "&amp;FIXED(G134,4)&amp;" x "&amp;J42&amp;" x "&amp;G125</f>
        <v>As = 0,0031 x 1100 x 440</v>
      </c>
      <c r="D135" s="180"/>
      <c r="E135" s="180"/>
      <c r="F135" s="202" t="s">
        <v>46</v>
      </c>
      <c r="G135" s="211">
        <f>G134*J42*G125</f>
        <v>1487.0875644313523</v>
      </c>
      <c r="H135" s="180" t="s">
        <v>76</v>
      </c>
      <c r="I135" s="180"/>
      <c r="J135" s="180"/>
      <c r="K135" s="180"/>
    </row>
    <row r="136" spans="1:11" ht="15">
      <c r="A136" s="165"/>
      <c r="B136" s="158"/>
      <c r="C136" s="180"/>
      <c r="D136" s="180"/>
      <c r="E136" s="180"/>
      <c r="F136" s="202"/>
      <c r="G136" s="211"/>
      <c r="H136" s="180"/>
      <c r="I136" s="180"/>
      <c r="J136" s="180"/>
      <c r="K136" s="180"/>
    </row>
    <row r="137" spans="1:11" ht="15">
      <c r="A137" s="165"/>
      <c r="B137" s="158"/>
      <c r="C137" s="180"/>
      <c r="D137" s="180"/>
      <c r="E137" s="180"/>
      <c r="F137" s="212" t="s">
        <v>76</v>
      </c>
      <c r="G137" s="211" t="s">
        <v>234</v>
      </c>
      <c r="H137" s="180"/>
      <c r="I137" s="180"/>
      <c r="J137" s="180"/>
      <c r="K137" s="180"/>
    </row>
    <row r="138" spans="1:11" ht="15">
      <c r="A138" s="165"/>
      <c r="B138" s="158"/>
      <c r="C138" s="213" t="s">
        <v>235</v>
      </c>
      <c r="E138" s="214"/>
      <c r="F138" s="215">
        <f>G135</f>
        <v>1487.0875644313523</v>
      </c>
      <c r="G138" s="216" t="s">
        <v>236</v>
      </c>
      <c r="H138" s="26" t="str">
        <f>IF(MID(G138,3,1)=" ","( "&amp;FIXED(0.25*PI()*(MID(G138,2,1))^2*1000/(MID(G138,6,3)),0)&amp;" mm2 )","( "&amp;FIXED(0.25*PI()*(MID(G138,2,2))^2*1000/(MID(G138,7,3)),0)&amp;" mm2 )")</f>
        <v>( 1.620 mm2 )</v>
      </c>
      <c r="I138" s="180"/>
      <c r="J138" s="180"/>
      <c r="K138" s="180"/>
    </row>
    <row r="139" spans="1:11" ht="15">
      <c r="A139" s="165"/>
      <c r="B139" s="158"/>
      <c r="C139" s="213" t="s">
        <v>246</v>
      </c>
      <c r="E139" s="214"/>
      <c r="F139" s="215">
        <f>20/100*F138</f>
        <v>297.41751288627046</v>
      </c>
      <c r="G139" s="216" t="s">
        <v>237</v>
      </c>
      <c r="H139" s="26" t="str">
        <f>IF(MID(G139,3,1)=" ","( "&amp;FIXED(0.25*PI()*(MID(G139,2,1))^2*1000/(MID(G139,6,3)),0)&amp;" mm2 )","( "&amp;FIXED(0.25*PI()*(MID(G139,2,2))^2*1000/(MID(G139,7,3)),0)&amp;" mm2 )")</f>
        <v>( 449 mm2 )</v>
      </c>
      <c r="I139" s="180"/>
      <c r="J139" s="180"/>
      <c r="K139" s="180"/>
    </row>
    <row r="140" ht="15">
      <c r="A140" s="165"/>
    </row>
    <row r="141" ht="15">
      <c r="A141" s="165"/>
    </row>
    <row r="142" spans="1:5" ht="15">
      <c r="A142" s="165"/>
      <c r="B142" s="158"/>
      <c r="C142" s="166" t="str">
        <f>"Pile Cap Type "&amp;I145&amp;" ("&amp;I146&amp;" tiang ) Arah Y ( "&amp;I147&amp;"x"&amp;I148&amp;"x"&amp;F148&amp;" mm2)"</f>
        <v>Pile Cap Type P2 (4 tiang ) Arah Y ( 1100x1100x500 mm2)</v>
      </c>
      <c r="D142" s="167"/>
      <c r="E142" s="167"/>
    </row>
    <row r="143" spans="1:5" ht="15">
      <c r="A143" s="165"/>
      <c r="B143" s="158"/>
      <c r="C143" s="166" t="s">
        <v>52</v>
      </c>
      <c r="D143" s="167"/>
      <c r="E143" s="167"/>
    </row>
    <row r="144" spans="1:5" ht="15">
      <c r="A144" s="165"/>
      <c r="B144" s="158"/>
      <c r="C144" s="168"/>
      <c r="D144" s="167"/>
      <c r="E144" s="167"/>
    </row>
    <row r="145" spans="1:9" ht="15">
      <c r="A145" s="165"/>
      <c r="B145" s="158"/>
      <c r="C145" s="169" t="s">
        <v>201</v>
      </c>
      <c r="F145" s="170">
        <f aca="true" t="shared" si="0" ref="F145:F154">F9</f>
        <v>20</v>
      </c>
      <c r="G145" s="169" t="s">
        <v>44</v>
      </c>
      <c r="H145" s="169" t="s">
        <v>86</v>
      </c>
      <c r="I145" s="169" t="s">
        <v>238</v>
      </c>
    </row>
    <row r="146" spans="1:10" ht="15">
      <c r="A146" s="165"/>
      <c r="B146" s="158"/>
      <c r="C146" s="169" t="s">
        <v>107</v>
      </c>
      <c r="F146" s="170">
        <f t="shared" si="0"/>
        <v>100536</v>
      </c>
      <c r="G146" s="169" t="s">
        <v>97</v>
      </c>
      <c r="H146" s="169" t="s">
        <v>203</v>
      </c>
      <c r="I146" s="159">
        <v>4</v>
      </c>
      <c r="J146" s="169" t="s">
        <v>204</v>
      </c>
    </row>
    <row r="147" spans="1:10" ht="15">
      <c r="A147" s="165"/>
      <c r="B147" s="158"/>
      <c r="C147" s="169" t="s">
        <v>205</v>
      </c>
      <c r="F147" s="170">
        <f t="shared" si="0"/>
        <v>60</v>
      </c>
      <c r="G147" s="169" t="s">
        <v>71</v>
      </c>
      <c r="H147" s="169" t="s">
        <v>84</v>
      </c>
      <c r="I147" s="159">
        <f>I11</f>
        <v>1100</v>
      </c>
      <c r="J147" s="169" t="s">
        <v>71</v>
      </c>
    </row>
    <row r="148" spans="1:10" ht="15">
      <c r="A148" s="165"/>
      <c r="B148" s="158"/>
      <c r="C148" s="169" t="s">
        <v>206</v>
      </c>
      <c r="F148" s="170">
        <f t="shared" si="0"/>
        <v>500</v>
      </c>
      <c r="G148" s="169" t="s">
        <v>71</v>
      </c>
      <c r="H148" s="169" t="s">
        <v>85</v>
      </c>
      <c r="I148" s="159">
        <f>I12</f>
        <v>1100</v>
      </c>
      <c r="J148" s="169" t="s">
        <v>71</v>
      </c>
    </row>
    <row r="149" spans="1:7" ht="15">
      <c r="A149" s="165"/>
      <c r="B149" s="158"/>
      <c r="C149" s="169" t="s">
        <v>93</v>
      </c>
      <c r="F149" s="170">
        <f t="shared" si="0"/>
        <v>440</v>
      </c>
      <c r="G149" s="169" t="s">
        <v>71</v>
      </c>
    </row>
    <row r="150" spans="1:6" ht="15">
      <c r="A150" s="165"/>
      <c r="B150" s="158"/>
      <c r="C150" s="172" t="s">
        <v>207</v>
      </c>
      <c r="F150" s="170">
        <f t="shared" si="0"/>
        <v>1</v>
      </c>
    </row>
    <row r="151" spans="1:7" ht="15.75">
      <c r="A151" s="165"/>
      <c r="B151" s="158"/>
      <c r="C151" s="169" t="s">
        <v>239</v>
      </c>
      <c r="F151" s="170">
        <f t="shared" si="0"/>
        <v>500</v>
      </c>
      <c r="G151" s="169" t="s">
        <v>71</v>
      </c>
    </row>
    <row r="152" spans="1:8" ht="15.75">
      <c r="A152" s="165"/>
      <c r="B152" s="158"/>
      <c r="C152" s="169" t="s">
        <v>240</v>
      </c>
      <c r="F152" s="170">
        <f t="shared" si="0"/>
        <v>500</v>
      </c>
      <c r="G152" s="169" t="s">
        <v>71</v>
      </c>
      <c r="H152" s="173"/>
    </row>
    <row r="153" spans="1:8" ht="15.75">
      <c r="A153" s="165"/>
      <c r="B153" s="158"/>
      <c r="C153" s="169" t="s">
        <v>241</v>
      </c>
      <c r="F153" s="170">
        <f t="shared" si="0"/>
        <v>1000</v>
      </c>
      <c r="G153" s="169" t="s">
        <v>71</v>
      </c>
      <c r="H153" s="173"/>
    </row>
    <row r="154" spans="1:8" ht="15.75">
      <c r="A154" s="165"/>
      <c r="B154" s="158"/>
      <c r="C154" s="169" t="s">
        <v>242</v>
      </c>
      <c r="F154" s="170">
        <f t="shared" si="0"/>
        <v>1000</v>
      </c>
      <c r="G154" s="169" t="s">
        <v>71</v>
      </c>
      <c r="H154" s="169"/>
    </row>
    <row r="155" spans="1:2" ht="15">
      <c r="A155" s="165"/>
      <c r="B155" s="158"/>
    </row>
    <row r="156" spans="1:3" ht="15">
      <c r="A156" s="165"/>
      <c r="B156" s="158"/>
      <c r="C156" s="166" t="s">
        <v>9</v>
      </c>
    </row>
    <row r="157" spans="1:4" ht="15">
      <c r="A157" s="165"/>
      <c r="B157" s="158"/>
      <c r="C157" s="169"/>
      <c r="D157" s="175"/>
    </row>
    <row r="158" spans="1:11" ht="15">
      <c r="A158" s="165"/>
      <c r="B158" s="158"/>
      <c r="C158" s="178" t="s">
        <v>41</v>
      </c>
      <c r="D158" s="179"/>
      <c r="E158" s="179"/>
      <c r="F158" s="180"/>
      <c r="G158" s="180"/>
      <c r="H158" s="180"/>
      <c r="I158" s="180"/>
      <c r="J158" s="180"/>
      <c r="K158" s="180"/>
    </row>
    <row r="159" spans="1:11" ht="15">
      <c r="A159" s="165"/>
      <c r="B159" s="158"/>
      <c r="C159" s="181"/>
      <c r="D159" s="182" t="s">
        <v>43</v>
      </c>
      <c r="E159" s="180"/>
      <c r="F159" s="183">
        <f>F41</f>
        <v>25</v>
      </c>
      <c r="G159" s="180" t="s">
        <v>44</v>
      </c>
      <c r="H159" s="180"/>
      <c r="I159" s="184" t="s">
        <v>206</v>
      </c>
      <c r="J159" s="185">
        <f>F12</f>
        <v>500</v>
      </c>
      <c r="K159" s="180" t="s">
        <v>71</v>
      </c>
    </row>
    <row r="160" spans="1:11" ht="15">
      <c r="A160" s="165"/>
      <c r="B160" s="158"/>
      <c r="C160" s="181"/>
      <c r="D160" s="182" t="s">
        <v>72</v>
      </c>
      <c r="E160" s="180"/>
      <c r="F160" s="183">
        <f>F42</f>
        <v>350</v>
      </c>
      <c r="G160" s="180" t="s">
        <v>44</v>
      </c>
      <c r="H160" s="180"/>
      <c r="I160" s="184" t="s">
        <v>50</v>
      </c>
      <c r="J160" s="186">
        <f>I11</f>
        <v>1100</v>
      </c>
      <c r="K160" s="180" t="s">
        <v>71</v>
      </c>
    </row>
    <row r="161" spans="1:11" ht="15">
      <c r="A161" s="165"/>
      <c r="B161" s="158"/>
      <c r="C161" s="181"/>
      <c r="D161" s="187" t="s">
        <v>80</v>
      </c>
      <c r="E161" s="180"/>
      <c r="F161" s="188">
        <f>F11</f>
        <v>60</v>
      </c>
      <c r="G161" s="180" t="s">
        <v>71</v>
      </c>
      <c r="H161" s="180"/>
      <c r="I161" s="180"/>
      <c r="J161" s="189"/>
      <c r="K161" s="180"/>
    </row>
    <row r="162" spans="1:11" ht="15">
      <c r="A162" s="165"/>
      <c r="B162" s="158"/>
      <c r="C162" s="181"/>
      <c r="D162" s="187"/>
      <c r="E162" s="180"/>
      <c r="F162" s="185"/>
      <c r="G162" s="180"/>
      <c r="H162" s="180"/>
      <c r="I162" s="180"/>
      <c r="J162" s="189"/>
      <c r="K162" s="180"/>
    </row>
    <row r="163" spans="1:11" ht="15">
      <c r="A163" s="165"/>
      <c r="B163" s="158"/>
      <c r="C163" s="181"/>
      <c r="D163" s="187"/>
      <c r="E163" s="180"/>
      <c r="F163" s="185"/>
      <c r="G163" s="180"/>
      <c r="H163" s="180"/>
      <c r="I163" s="180"/>
      <c r="J163" s="189"/>
      <c r="K163" s="180"/>
    </row>
    <row r="164" spans="1:11" ht="15">
      <c r="A164" s="165"/>
      <c r="B164" s="158"/>
      <c r="C164" s="192" t="s">
        <v>216</v>
      </c>
      <c r="D164" s="180"/>
      <c r="E164" s="180"/>
      <c r="F164" s="180"/>
      <c r="G164" s="180"/>
      <c r="H164" s="180"/>
      <c r="I164" s="180"/>
      <c r="J164" s="180"/>
      <c r="K164" s="180"/>
    </row>
    <row r="165" spans="1:11" ht="15">
      <c r="A165" s="165"/>
      <c r="B165" s="158"/>
      <c r="C165" s="180"/>
      <c r="D165" s="193"/>
      <c r="E165" s="193"/>
      <c r="H165" s="194" t="s">
        <v>217</v>
      </c>
      <c r="I165" s="195">
        <f>$G$118</f>
        <v>1320</v>
      </c>
      <c r="J165" s="180" t="str">
        <f>H236</f>
        <v>kg/m</v>
      </c>
      <c r="K165" s="180"/>
    </row>
    <row r="166" spans="1:11" ht="15">
      <c r="A166" s="165"/>
      <c r="B166" s="158"/>
      <c r="C166" s="180"/>
      <c r="D166" s="180"/>
      <c r="E166" s="180"/>
      <c r="F166" s="180"/>
      <c r="G166" s="180"/>
      <c r="H166" s="180"/>
      <c r="I166" s="180"/>
      <c r="J166" s="180"/>
      <c r="K166" s="180"/>
    </row>
    <row r="167" spans="1:11" ht="15">
      <c r="A167" s="165"/>
      <c r="B167" s="158"/>
      <c r="C167" s="180"/>
      <c r="D167" s="193"/>
      <c r="E167" s="193"/>
      <c r="F167" s="180"/>
      <c r="G167" s="180"/>
      <c r="H167" s="180"/>
      <c r="I167" s="180"/>
      <c r="J167" s="180"/>
      <c r="K167" s="180"/>
    </row>
    <row r="168" spans="1:11" ht="15">
      <c r="A168" s="165"/>
      <c r="B168" s="158"/>
      <c r="C168" s="180"/>
      <c r="D168" s="193"/>
      <c r="E168" s="60" t="str">
        <f>D171&amp;" m"</f>
        <v>0,3 m</v>
      </c>
      <c r="F168" s="196" t="s">
        <v>218</v>
      </c>
      <c r="G168" s="197"/>
      <c r="H168" s="180"/>
      <c r="I168" s="180"/>
      <c r="J168" s="180"/>
      <c r="K168" s="180"/>
    </row>
    <row r="169" spans="1:11" ht="15">
      <c r="A169" s="165"/>
      <c r="B169" s="158"/>
      <c r="C169" s="180"/>
      <c r="D169" s="193"/>
      <c r="E169" s="378" t="str">
        <f>D172&amp;" m"</f>
        <v>0,55 m</v>
      </c>
      <c r="F169" s="378"/>
      <c r="G169" s="180"/>
      <c r="H169" s="180"/>
      <c r="I169" s="180"/>
      <c r="J169" s="180"/>
      <c r="K169" s="180"/>
    </row>
    <row r="170" spans="1:11" ht="15">
      <c r="A170" s="165"/>
      <c r="B170" s="158"/>
      <c r="C170" s="180"/>
      <c r="D170" s="193"/>
      <c r="E170" s="193"/>
      <c r="F170" s="180"/>
      <c r="G170" s="180"/>
      <c r="H170" s="180"/>
      <c r="I170" s="180"/>
      <c r="J170" s="180"/>
      <c r="K170" s="180"/>
    </row>
    <row r="171" spans="1:11" ht="15">
      <c r="A171" s="165"/>
      <c r="B171" s="158"/>
      <c r="C171" s="180" t="s">
        <v>219</v>
      </c>
      <c r="D171" s="198">
        <v>0.3</v>
      </c>
      <c r="E171" s="199" t="str">
        <f>"m                            "&amp;F168&amp;" ="</f>
        <v>m                            2P =</v>
      </c>
      <c r="F171" s="200">
        <f>$F$146/$I$146*LEFT(F168,1)</f>
        <v>50268</v>
      </c>
      <c r="G171" s="199" t="s">
        <v>97</v>
      </c>
      <c r="H171" s="180"/>
      <c r="I171" s="199"/>
      <c r="J171" s="180"/>
      <c r="K171" s="180"/>
    </row>
    <row r="172" spans="1:11" ht="15">
      <c r="A172" s="165"/>
      <c r="B172" s="158"/>
      <c r="C172" s="180" t="s">
        <v>220</v>
      </c>
      <c r="D172" s="198">
        <v>0.55</v>
      </c>
      <c r="E172" s="180" t="s">
        <v>53</v>
      </c>
      <c r="F172" s="180"/>
      <c r="G172" s="180"/>
      <c r="H172" s="180"/>
      <c r="I172" s="180"/>
      <c r="J172" s="180"/>
      <c r="K172" s="180"/>
    </row>
    <row r="173" spans="1:11" ht="15">
      <c r="A173" s="165"/>
      <c r="B173" s="158"/>
      <c r="C173" s="180"/>
      <c r="D173" s="198"/>
      <c r="E173" s="180"/>
      <c r="F173" s="180"/>
      <c r="G173" s="180"/>
      <c r="H173" s="180"/>
      <c r="I173" s="180"/>
      <c r="J173" s="180"/>
      <c r="K173" s="180"/>
    </row>
    <row r="174" spans="1:11" ht="15">
      <c r="A174" s="165"/>
      <c r="B174" s="158"/>
      <c r="C174" s="180" t="s">
        <v>74</v>
      </c>
      <c r="D174" s="174" t="s">
        <v>46</v>
      </c>
      <c r="E174" s="180" t="str">
        <f>"1.2 x ( "&amp;(LEFT(F168,2)&amp;".L1 ")&amp;"- 1/2.Q.L^2) "</f>
        <v>1.2 x ( 2P.L1 - 1/2.Q.L^2) </v>
      </c>
      <c r="G174" s="169"/>
      <c r="I174" s="180"/>
      <c r="J174" s="180"/>
      <c r="K174" s="180"/>
    </row>
    <row r="175" spans="1:11" ht="15">
      <c r="A175" s="165"/>
      <c r="B175" s="158"/>
      <c r="C175" s="201"/>
      <c r="D175" s="174" t="s">
        <v>46</v>
      </c>
      <c r="E175" s="180" t="str">
        <f>"1.2 x ("&amp;F171&amp;"x"&amp;D171&amp;"-1/2x"&amp;$G$118&amp;"x"&amp;D172&amp;"^2)"</f>
        <v>1.2 x (50268x0,3-1/2x1320x0,55^2)</v>
      </c>
      <c r="I175" s="180"/>
      <c r="J175" s="180"/>
      <c r="K175" s="180"/>
    </row>
    <row r="176" spans="1:11" ht="15">
      <c r="A176" s="165"/>
      <c r="B176" s="158"/>
      <c r="C176" s="181"/>
      <c r="D176" s="187"/>
      <c r="E176" s="180"/>
      <c r="F176" s="202" t="s">
        <v>46</v>
      </c>
      <c r="G176" s="180">
        <f>1.2*((F171*D171)-(0.5*$G$118*D172^2))</f>
        <v>17856.899999999998</v>
      </c>
      <c r="H176" s="180" t="s">
        <v>69</v>
      </c>
      <c r="I176" s="180"/>
      <c r="J176" s="180"/>
      <c r="K176" s="180"/>
    </row>
    <row r="177" spans="1:11" ht="15">
      <c r="A177" s="165"/>
      <c r="B177" s="158"/>
      <c r="C177" s="180"/>
      <c r="D177" s="198"/>
      <c r="E177" s="180"/>
      <c r="F177" s="180"/>
      <c r="G177" s="180"/>
      <c r="H177" s="180"/>
      <c r="I177" s="180"/>
      <c r="J177" s="180"/>
      <c r="K177" s="180"/>
    </row>
    <row r="178" spans="1:11" ht="15" hidden="1">
      <c r="A178" s="165"/>
      <c r="B178" s="158"/>
      <c r="C178" s="192" t="s">
        <v>221</v>
      </c>
      <c r="D178" s="180"/>
      <c r="E178" s="180"/>
      <c r="F178" s="180"/>
      <c r="G178" s="180"/>
      <c r="H178" s="180"/>
      <c r="I178" s="180"/>
      <c r="J178" s="180"/>
      <c r="K178" s="180"/>
    </row>
    <row r="179" spans="1:11" ht="15" hidden="1">
      <c r="A179" s="165"/>
      <c r="B179" s="158"/>
      <c r="C179" s="180"/>
      <c r="D179" s="193"/>
      <c r="E179" s="193"/>
      <c r="H179" s="194" t="s">
        <v>217</v>
      </c>
      <c r="I179" s="195">
        <f>$G$118</f>
        <v>1320</v>
      </c>
      <c r="J179" s="180" t="str">
        <f>J165</f>
        <v>kg/m</v>
      </c>
      <c r="K179" s="180"/>
    </row>
    <row r="180" spans="1:11" ht="15" hidden="1">
      <c r="A180" s="165"/>
      <c r="B180" s="158"/>
      <c r="C180" s="180"/>
      <c r="D180" s="180"/>
      <c r="E180" s="180"/>
      <c r="F180" s="180"/>
      <c r="G180" s="180"/>
      <c r="H180" s="180"/>
      <c r="I180" s="180"/>
      <c r="J180" s="180"/>
      <c r="K180" s="180"/>
    </row>
    <row r="181" spans="1:11" ht="15" hidden="1">
      <c r="A181" s="165"/>
      <c r="B181" s="158"/>
      <c r="C181" s="180"/>
      <c r="D181" s="193"/>
      <c r="E181" s="193"/>
      <c r="F181" s="180"/>
      <c r="G181" s="180"/>
      <c r="H181" s="180"/>
      <c r="I181" s="180"/>
      <c r="J181" s="180"/>
      <c r="K181" s="180"/>
    </row>
    <row r="182" spans="1:11" ht="15" hidden="1">
      <c r="A182" s="165"/>
      <c r="B182" s="158"/>
      <c r="C182" s="180"/>
      <c r="D182" s="193"/>
      <c r="E182" s="60" t="str">
        <f>D186&amp;" m"</f>
        <v>0,1 m</v>
      </c>
      <c r="F182" s="196" t="s">
        <v>222</v>
      </c>
      <c r="G182" s="196" t="s">
        <v>218</v>
      </c>
      <c r="H182" s="180"/>
      <c r="I182" s="180"/>
      <c r="J182" s="180"/>
      <c r="K182" s="180"/>
    </row>
    <row r="183" spans="1:11" ht="15" hidden="1">
      <c r="A183" s="165"/>
      <c r="B183" s="158"/>
      <c r="C183" s="180"/>
      <c r="D183" s="193"/>
      <c r="E183" s="60" t="str">
        <f>D187&amp;" m"</f>
        <v>0,2 m</v>
      </c>
      <c r="F183" s="196"/>
      <c r="G183" s="197"/>
      <c r="H183" s="180"/>
      <c r="I183" s="180"/>
      <c r="J183" s="180"/>
      <c r="K183" s="180"/>
    </row>
    <row r="184" spans="1:11" ht="15" hidden="1">
      <c r="A184" s="165"/>
      <c r="B184" s="158"/>
      <c r="C184" s="180"/>
      <c r="D184" s="193"/>
      <c r="E184" s="378" t="str">
        <f>D188&amp;" m"</f>
        <v>0,55 m</v>
      </c>
      <c r="F184" s="378"/>
      <c r="G184" s="180"/>
      <c r="H184" s="180"/>
      <c r="I184" s="180"/>
      <c r="J184" s="180"/>
      <c r="K184" s="180"/>
    </row>
    <row r="185" spans="1:11" ht="15" hidden="1">
      <c r="A185" s="165"/>
      <c r="B185" s="158"/>
      <c r="C185" s="180"/>
      <c r="D185" s="193"/>
      <c r="E185" s="193"/>
      <c r="F185" s="180"/>
      <c r="G185" s="180"/>
      <c r="H185" s="180"/>
      <c r="I185" s="180"/>
      <c r="J185" s="180"/>
      <c r="K185" s="180"/>
    </row>
    <row r="186" spans="1:11" ht="15" hidden="1">
      <c r="A186" s="165"/>
      <c r="B186" s="158"/>
      <c r="C186" s="180" t="s">
        <v>219</v>
      </c>
      <c r="D186" s="198">
        <v>0.1</v>
      </c>
      <c r="E186" s="199" t="str">
        <f>"m                            "&amp;F182&amp;" ="</f>
        <v>m                            1P =</v>
      </c>
      <c r="F186" s="200">
        <f>$F$146/$I$146*LEFT(F182,1)</f>
        <v>25134</v>
      </c>
      <c r="G186" s="199" t="s">
        <v>97</v>
      </c>
      <c r="H186" s="180"/>
      <c r="I186" s="199"/>
      <c r="J186" s="180"/>
      <c r="K186" s="180"/>
    </row>
    <row r="187" spans="1:11" ht="15" hidden="1">
      <c r="A187" s="165"/>
      <c r="B187" s="158"/>
      <c r="C187" s="199" t="s">
        <v>223</v>
      </c>
      <c r="D187" s="198">
        <v>0.2</v>
      </c>
      <c r="E187" s="199" t="str">
        <f>"m                            "&amp;G182&amp;" ="</f>
        <v>m                            2P =</v>
      </c>
      <c r="F187" s="200">
        <f>$F$146/$I$146*LEFT(G182,1)</f>
        <v>50268</v>
      </c>
      <c r="G187" s="199" t="s">
        <v>97</v>
      </c>
      <c r="H187" s="180"/>
      <c r="I187" s="199"/>
      <c r="J187" s="180"/>
      <c r="K187" s="180"/>
    </row>
    <row r="188" spans="1:11" ht="15" hidden="1">
      <c r="A188" s="165"/>
      <c r="B188" s="158"/>
      <c r="C188" s="180" t="s">
        <v>220</v>
      </c>
      <c r="D188" s="198">
        <v>0.55</v>
      </c>
      <c r="E188" s="180" t="s">
        <v>53</v>
      </c>
      <c r="F188" s="180"/>
      <c r="G188" s="180"/>
      <c r="H188" s="180"/>
      <c r="I188" s="180"/>
      <c r="J188" s="180"/>
      <c r="K188" s="180"/>
    </row>
    <row r="189" spans="1:11" ht="15" hidden="1">
      <c r="A189" s="165"/>
      <c r="B189" s="158"/>
      <c r="C189" s="180"/>
      <c r="D189" s="198"/>
      <c r="E189" s="180"/>
      <c r="F189" s="180"/>
      <c r="G189" s="180"/>
      <c r="H189" s="180"/>
      <c r="I189" s="180"/>
      <c r="J189" s="180"/>
      <c r="K189" s="180"/>
    </row>
    <row r="190" spans="1:11" ht="15" hidden="1">
      <c r="A190" s="165"/>
      <c r="B190" s="158"/>
      <c r="C190" s="180" t="s">
        <v>74</v>
      </c>
      <c r="D190" s="174" t="s">
        <v>46</v>
      </c>
      <c r="E190" s="180" t="str">
        <f>"1.2 x ( "&amp;(LEFT(F182,2)&amp;".L1+ ")&amp;(LEFT(G182,2)&amp;".L2 ")&amp;"- 1/2.Q.L^2) "</f>
        <v>1.2 x ( 1P.L1+ 2P.L2 - 1/2.Q.L^2) </v>
      </c>
      <c r="G190" s="169"/>
      <c r="I190" s="180"/>
      <c r="J190" s="180"/>
      <c r="K190" s="180"/>
    </row>
    <row r="191" spans="1:11" ht="15" hidden="1">
      <c r="A191" s="165"/>
      <c r="B191" s="158"/>
      <c r="C191" s="201"/>
      <c r="D191" s="174" t="s">
        <v>46</v>
      </c>
      <c r="E191" s="180" t="str">
        <f>"1.2 x ("&amp;F186&amp;"x"&amp;D186&amp;"+"&amp;F187&amp;"x"&amp;D187&amp;"-1/2x"&amp;$G$118&amp;"x"&amp;D188&amp;"^2)"</f>
        <v>1.2 x (25134x0,1+50268x0,2-1/2x1320x0,55^2)</v>
      </c>
      <c r="I191" s="180"/>
      <c r="J191" s="180"/>
      <c r="K191" s="180"/>
    </row>
    <row r="192" spans="1:11" ht="15" hidden="1">
      <c r="A192" s="165"/>
      <c r="B192" s="158"/>
      <c r="C192" s="181"/>
      <c r="D192" s="187"/>
      <c r="E192" s="180"/>
      <c r="F192" s="202" t="s">
        <v>46</v>
      </c>
      <c r="G192" s="180">
        <f>1.2*((F186*D186)+(F187*D187)-(0.5*$G$118*D188^2))</f>
        <v>14840.82</v>
      </c>
      <c r="H192" s="180" t="s">
        <v>69</v>
      </c>
      <c r="I192" s="180"/>
      <c r="J192" s="180"/>
      <c r="K192" s="180"/>
    </row>
    <row r="193" spans="1:11" ht="15" hidden="1">
      <c r="A193" s="165"/>
      <c r="B193" s="158"/>
      <c r="C193" s="180"/>
      <c r="D193" s="198"/>
      <c r="E193" s="180"/>
      <c r="F193" s="180"/>
      <c r="G193" s="180"/>
      <c r="H193" s="180"/>
      <c r="I193" s="180"/>
      <c r="J193" s="180"/>
      <c r="K193" s="180"/>
    </row>
    <row r="194" spans="1:11" ht="15" hidden="1">
      <c r="A194" s="165"/>
      <c r="B194" s="158"/>
      <c r="C194" s="180"/>
      <c r="D194" s="198"/>
      <c r="E194" s="180"/>
      <c r="F194" s="180"/>
      <c r="G194" s="180"/>
      <c r="H194" s="180"/>
      <c r="I194" s="180"/>
      <c r="J194" s="180"/>
      <c r="K194" s="180"/>
    </row>
    <row r="195" spans="1:11" ht="15" hidden="1">
      <c r="A195" s="165"/>
      <c r="B195" s="158"/>
      <c r="C195" s="192" t="s">
        <v>224</v>
      </c>
      <c r="D195" s="180"/>
      <c r="E195" s="180"/>
      <c r="F195" s="180"/>
      <c r="G195" s="180"/>
      <c r="H195" s="180"/>
      <c r="I195" s="180"/>
      <c r="J195" s="180"/>
      <c r="K195" s="180"/>
    </row>
    <row r="196" spans="1:11" ht="15" hidden="1">
      <c r="A196" s="165"/>
      <c r="B196" s="158"/>
      <c r="C196" s="180"/>
      <c r="D196" s="193"/>
      <c r="E196" s="193"/>
      <c r="H196" s="194"/>
      <c r="I196" s="180"/>
      <c r="J196" s="180"/>
      <c r="K196" s="180"/>
    </row>
    <row r="197" spans="1:11" ht="15" hidden="1">
      <c r="A197" s="165"/>
      <c r="B197" s="158"/>
      <c r="C197" s="180"/>
      <c r="D197" s="180"/>
      <c r="E197" s="180"/>
      <c r="F197" s="180"/>
      <c r="G197" s="180"/>
      <c r="H197" s="180"/>
      <c r="I197" s="180"/>
      <c r="J197" s="180"/>
      <c r="K197" s="180"/>
    </row>
    <row r="198" spans="1:11" ht="15" hidden="1">
      <c r="A198" s="165"/>
      <c r="B198" s="158"/>
      <c r="C198" s="180"/>
      <c r="D198" s="193"/>
      <c r="E198" s="193"/>
      <c r="F198" s="180"/>
      <c r="G198" s="180"/>
      <c r="H198" s="180"/>
      <c r="I198" s="180"/>
      <c r="J198" s="180"/>
      <c r="K198" s="180"/>
    </row>
    <row r="199" spans="1:11" ht="15" hidden="1">
      <c r="A199" s="165"/>
      <c r="B199" s="158"/>
      <c r="C199" s="180"/>
      <c r="D199" s="193"/>
      <c r="E199" s="60" t="str">
        <f>D204&amp;" m"</f>
        <v>0,1 m</v>
      </c>
      <c r="F199" s="196" t="s">
        <v>222</v>
      </c>
      <c r="G199" s="196" t="s">
        <v>218</v>
      </c>
      <c r="H199" s="196" t="s">
        <v>225</v>
      </c>
      <c r="I199" s="180"/>
      <c r="J199" s="180"/>
      <c r="K199" s="180"/>
    </row>
    <row r="200" spans="1:11" ht="15" hidden="1">
      <c r="A200" s="165"/>
      <c r="B200" s="158"/>
      <c r="C200" s="180"/>
      <c r="D200" s="193"/>
      <c r="E200" s="60" t="str">
        <f>D205&amp;" m"</f>
        <v>0,2 m</v>
      </c>
      <c r="F200" s="196"/>
      <c r="G200" s="197"/>
      <c r="H200" s="180"/>
      <c r="I200" s="180"/>
      <c r="J200" s="180"/>
      <c r="K200" s="180"/>
    </row>
    <row r="201" spans="1:11" ht="15" hidden="1">
      <c r="A201" s="165"/>
      <c r="B201" s="158"/>
      <c r="C201" s="180"/>
      <c r="D201" s="193"/>
      <c r="E201" s="60" t="str">
        <f>D206&amp;" m"</f>
        <v>0,3 m</v>
      </c>
      <c r="F201" s="196"/>
      <c r="G201" s="197"/>
      <c r="H201" s="180"/>
      <c r="I201" s="180"/>
      <c r="J201" s="180"/>
      <c r="K201" s="180"/>
    </row>
    <row r="202" spans="1:11" ht="15" hidden="1">
      <c r="A202" s="165"/>
      <c r="B202" s="158"/>
      <c r="C202" s="180"/>
      <c r="D202" s="193"/>
      <c r="E202" s="378" t="str">
        <f>D207&amp;" m"</f>
        <v>0,55 m</v>
      </c>
      <c r="F202" s="378"/>
      <c r="G202" s="180"/>
      <c r="H202" s="180"/>
      <c r="I202" s="180"/>
      <c r="J202" s="180"/>
      <c r="K202" s="180"/>
    </row>
    <row r="203" spans="1:11" ht="15" hidden="1">
      <c r="A203" s="165"/>
      <c r="B203" s="158"/>
      <c r="C203" s="180"/>
      <c r="D203" s="193"/>
      <c r="E203" s="193"/>
      <c r="F203" s="180"/>
      <c r="G203" s="180"/>
      <c r="H203" s="180"/>
      <c r="I203" s="180"/>
      <c r="J203" s="180"/>
      <c r="K203" s="180"/>
    </row>
    <row r="204" spans="1:11" ht="15" hidden="1">
      <c r="A204" s="165"/>
      <c r="B204" s="158"/>
      <c r="C204" s="180" t="s">
        <v>219</v>
      </c>
      <c r="D204" s="198">
        <v>0.1</v>
      </c>
      <c r="E204" s="199" t="str">
        <f>"m                            "&amp;F199&amp;" ="</f>
        <v>m                            1P =</v>
      </c>
      <c r="F204" s="200">
        <f>$F$146/$I$146*LEFT(F199,1)</f>
        <v>25134</v>
      </c>
      <c r="G204" s="199" t="s">
        <v>97</v>
      </c>
      <c r="H204" s="180"/>
      <c r="I204" s="180"/>
      <c r="J204" s="180"/>
      <c r="K204" s="180"/>
    </row>
    <row r="205" spans="1:11" ht="15" hidden="1">
      <c r="A205" s="165"/>
      <c r="B205" s="158"/>
      <c r="C205" s="199" t="s">
        <v>223</v>
      </c>
      <c r="D205" s="198">
        <v>0.2</v>
      </c>
      <c r="E205" s="199" t="str">
        <f>"m                            "&amp;G199&amp;" ="</f>
        <v>m                            2P =</v>
      </c>
      <c r="F205" s="200">
        <f>$F$146/$I$146*LEFT(G199,1)</f>
        <v>50268</v>
      </c>
      <c r="G205" s="199" t="s">
        <v>97</v>
      </c>
      <c r="H205" s="180"/>
      <c r="I205" s="180"/>
      <c r="J205" s="180"/>
      <c r="K205" s="180"/>
    </row>
    <row r="206" spans="1:11" ht="15" hidden="1">
      <c r="A206" s="165"/>
      <c r="B206" s="158"/>
      <c r="C206" s="199" t="s">
        <v>226</v>
      </c>
      <c r="D206" s="198">
        <v>0.3</v>
      </c>
      <c r="E206" s="199" t="str">
        <f>"m                            "&amp;H199&amp;" ="</f>
        <v>m                            3P =</v>
      </c>
      <c r="F206" s="200">
        <f>$F$146/$I$146*LEFT(H199,1)</f>
        <v>75402</v>
      </c>
      <c r="G206" s="199" t="s">
        <v>97</v>
      </c>
      <c r="H206" s="180"/>
      <c r="I206" s="180"/>
      <c r="J206" s="180"/>
      <c r="K206" s="180"/>
    </row>
    <row r="207" spans="1:11" ht="15" hidden="1">
      <c r="A207" s="165"/>
      <c r="B207" s="158"/>
      <c r="C207" s="180" t="s">
        <v>220</v>
      </c>
      <c r="D207" s="198">
        <v>0.55</v>
      </c>
      <c r="E207" s="180" t="s">
        <v>53</v>
      </c>
      <c r="F207" s="180"/>
      <c r="G207" s="180"/>
      <c r="H207" s="180"/>
      <c r="I207" s="180"/>
      <c r="J207" s="180"/>
      <c r="K207" s="180"/>
    </row>
    <row r="208" spans="1:11" ht="15" hidden="1">
      <c r="A208" s="165"/>
      <c r="B208" s="158"/>
      <c r="C208" s="180"/>
      <c r="D208" s="198"/>
      <c r="E208" s="180"/>
      <c r="F208" s="180"/>
      <c r="G208" s="180"/>
      <c r="H208" s="180"/>
      <c r="I208" s="180"/>
      <c r="J208" s="180"/>
      <c r="K208" s="180"/>
    </row>
    <row r="209" spans="1:11" ht="15" hidden="1">
      <c r="A209" s="165"/>
      <c r="B209" s="158"/>
      <c r="C209" s="180" t="s">
        <v>74</v>
      </c>
      <c r="D209" s="174" t="s">
        <v>46</v>
      </c>
      <c r="E209" s="180" t="str">
        <f>"1.2 x ( "&amp;(LEFT(F199,2)&amp;".L1+ ")&amp;(LEFT(G199,2)&amp;".L2+ ")&amp;(LEFT(H199,2)&amp;".L3 ")&amp;"- 1/2.Q.L^2) "</f>
        <v>1.2 x ( 1P.L1+ 2P.L2+ 3P.L3 - 1/2.Q.L^2) </v>
      </c>
      <c r="G209" s="169"/>
      <c r="I209" s="180"/>
      <c r="J209" s="180"/>
      <c r="K209" s="180"/>
    </row>
    <row r="210" spans="1:11" ht="15" hidden="1">
      <c r="A210" s="165"/>
      <c r="B210" s="158"/>
      <c r="C210" s="201"/>
      <c r="D210" s="174" t="s">
        <v>46</v>
      </c>
      <c r="E210" s="180" t="str">
        <f>"1.2 x ("&amp;F204&amp;"x"&amp;D204&amp;"+"&amp;F205&amp;"x"&amp;D205&amp;"+"&amp;F206&amp;"x"&amp;D206&amp;"-1/2x"&amp;$G$118&amp;"x"&amp;D207&amp;"^2)"</f>
        <v>1.2 x (25134x0,1+50268x0,2+75402x0,3-1/2x1320x0,55^2)</v>
      </c>
      <c r="I210" s="180"/>
      <c r="J210" s="180"/>
      <c r="K210" s="180"/>
    </row>
    <row r="211" spans="1:11" ht="15" hidden="1">
      <c r="A211" s="165"/>
      <c r="B211" s="158"/>
      <c r="C211" s="181"/>
      <c r="D211" s="187"/>
      <c r="E211" s="180"/>
      <c r="F211" s="202" t="s">
        <v>46</v>
      </c>
      <c r="G211" s="180">
        <f>1.2*((F204*D204)+(F205*D205)+(F206*D206)-(0.5*$G$118*D207^2))</f>
        <v>41985.53999999999</v>
      </c>
      <c r="H211" s="180" t="s">
        <v>69</v>
      </c>
      <c r="I211" s="180"/>
      <c r="J211" s="180"/>
      <c r="K211" s="180"/>
    </row>
    <row r="212" spans="1:11" ht="15" hidden="1">
      <c r="A212" s="165"/>
      <c r="B212" s="158"/>
      <c r="C212" s="181"/>
      <c r="D212" s="187"/>
      <c r="E212" s="180"/>
      <c r="F212" s="202"/>
      <c r="G212" s="180"/>
      <c r="H212" s="180"/>
      <c r="I212" s="180"/>
      <c r="J212" s="180"/>
      <c r="K212" s="180"/>
    </row>
    <row r="213" spans="1:11" ht="15" hidden="1">
      <c r="A213" s="165"/>
      <c r="B213" s="158"/>
      <c r="C213" s="192" t="s">
        <v>227</v>
      </c>
      <c r="D213" s="180"/>
      <c r="E213" s="180"/>
      <c r="F213" s="180"/>
      <c r="G213" s="180"/>
      <c r="H213" s="180"/>
      <c r="I213" s="180"/>
      <c r="J213" s="180"/>
      <c r="K213" s="180"/>
    </row>
    <row r="214" spans="1:11" ht="15" hidden="1">
      <c r="A214" s="165"/>
      <c r="B214" s="158"/>
      <c r="C214" s="180"/>
      <c r="D214" s="193"/>
      <c r="E214" s="193"/>
      <c r="H214" s="194"/>
      <c r="I214" s="180"/>
      <c r="J214" s="180"/>
      <c r="K214" s="180"/>
    </row>
    <row r="215" spans="1:11" ht="15" hidden="1">
      <c r="A215" s="165"/>
      <c r="B215" s="158"/>
      <c r="C215" s="180"/>
      <c r="D215" s="180"/>
      <c r="E215" s="180"/>
      <c r="F215" s="180"/>
      <c r="G215" s="180"/>
      <c r="H215" s="180"/>
      <c r="I215" s="180"/>
      <c r="J215" s="180"/>
      <c r="K215" s="180"/>
    </row>
    <row r="216" spans="1:11" ht="15" hidden="1">
      <c r="A216" s="165"/>
      <c r="B216" s="158"/>
      <c r="C216" s="180"/>
      <c r="D216" s="193"/>
      <c r="E216" s="193"/>
      <c r="F216" s="180"/>
      <c r="G216" s="180"/>
      <c r="H216" s="180"/>
      <c r="I216" s="180"/>
      <c r="J216" s="180"/>
      <c r="K216" s="180"/>
    </row>
    <row r="217" spans="1:11" ht="15" hidden="1">
      <c r="A217" s="165"/>
      <c r="B217" s="158"/>
      <c r="C217" s="180"/>
      <c r="D217" s="193"/>
      <c r="E217" s="60" t="str">
        <f>D223&amp;" m"</f>
        <v>0,1 m</v>
      </c>
      <c r="F217" s="196" t="s">
        <v>222</v>
      </c>
      <c r="G217" s="196" t="s">
        <v>218</v>
      </c>
      <c r="H217" s="196" t="s">
        <v>225</v>
      </c>
      <c r="I217" s="196" t="s">
        <v>228</v>
      </c>
      <c r="J217" s="180"/>
      <c r="K217" s="180"/>
    </row>
    <row r="218" spans="1:11" ht="15" hidden="1">
      <c r="A218" s="165"/>
      <c r="B218" s="158"/>
      <c r="C218" s="180"/>
      <c r="D218" s="193"/>
      <c r="E218" s="60" t="str">
        <f>D224&amp;" m"</f>
        <v>0,2 m</v>
      </c>
      <c r="F218" s="196"/>
      <c r="G218" s="197"/>
      <c r="H218" s="180"/>
      <c r="I218" s="180"/>
      <c r="J218" s="180"/>
      <c r="K218" s="180"/>
    </row>
    <row r="219" spans="1:11" ht="15" hidden="1">
      <c r="A219" s="165"/>
      <c r="B219" s="158"/>
      <c r="C219" s="180"/>
      <c r="D219" s="193"/>
      <c r="E219" s="60" t="str">
        <f>D225&amp;" m"</f>
        <v>0,3 m</v>
      </c>
      <c r="F219" s="196"/>
      <c r="G219" s="197"/>
      <c r="H219" s="180"/>
      <c r="I219" s="180"/>
      <c r="J219" s="180"/>
      <c r="K219" s="180"/>
    </row>
    <row r="220" spans="1:11" ht="15" hidden="1">
      <c r="A220" s="165"/>
      <c r="B220" s="158"/>
      <c r="C220" s="180"/>
      <c r="D220" s="193"/>
      <c r="E220" s="60" t="str">
        <f>D226&amp;" m"</f>
        <v>0,4 m</v>
      </c>
      <c r="F220" s="196"/>
      <c r="G220" s="197"/>
      <c r="H220" s="180"/>
      <c r="I220" s="180"/>
      <c r="J220" s="180"/>
      <c r="K220" s="180"/>
    </row>
    <row r="221" spans="1:11" ht="15" hidden="1">
      <c r="A221" s="165"/>
      <c r="B221" s="158"/>
      <c r="C221" s="180"/>
      <c r="D221" s="193"/>
      <c r="E221" s="378" t="str">
        <f>D227&amp;" m"</f>
        <v>0,55 m</v>
      </c>
      <c r="F221" s="378"/>
      <c r="G221" s="180"/>
      <c r="H221" s="180"/>
      <c r="I221" s="180"/>
      <c r="J221" s="180"/>
      <c r="K221" s="180"/>
    </row>
    <row r="222" spans="1:11" ht="15" hidden="1">
      <c r="A222" s="165"/>
      <c r="B222" s="158"/>
      <c r="C222" s="180"/>
      <c r="D222" s="193"/>
      <c r="E222" s="193"/>
      <c r="F222" s="180"/>
      <c r="G222" s="180"/>
      <c r="H222" s="180"/>
      <c r="I222" s="180"/>
      <c r="J222" s="180"/>
      <c r="K222" s="180"/>
    </row>
    <row r="223" spans="1:11" ht="15" hidden="1">
      <c r="A223" s="165"/>
      <c r="B223" s="158"/>
      <c r="C223" s="180" t="s">
        <v>219</v>
      </c>
      <c r="D223" s="198">
        <v>0.1</v>
      </c>
      <c r="E223" s="199" t="str">
        <f>"m                            "&amp;F217&amp;" ="</f>
        <v>m                            1P =</v>
      </c>
      <c r="F223" s="200">
        <f>$F$146/$I$146*LEFT(F217,1)</f>
        <v>25134</v>
      </c>
      <c r="G223" s="199" t="s">
        <v>97</v>
      </c>
      <c r="H223" s="180"/>
      <c r="I223" s="180"/>
      <c r="J223" s="180"/>
      <c r="K223" s="180"/>
    </row>
    <row r="224" spans="1:11" ht="15" hidden="1">
      <c r="A224" s="165"/>
      <c r="B224" s="158"/>
      <c r="C224" s="199" t="s">
        <v>223</v>
      </c>
      <c r="D224" s="198">
        <v>0.2</v>
      </c>
      <c r="E224" s="199" t="str">
        <f>"m                            "&amp;G217&amp;" ="</f>
        <v>m                            2P =</v>
      </c>
      <c r="F224" s="200">
        <f>$F$146/$I$146*LEFT(G217,1)</f>
        <v>50268</v>
      </c>
      <c r="G224" s="199" t="s">
        <v>97</v>
      </c>
      <c r="H224" s="180"/>
      <c r="I224" s="180"/>
      <c r="J224" s="180"/>
      <c r="K224" s="180"/>
    </row>
    <row r="225" spans="1:11" ht="15" hidden="1">
      <c r="A225" s="165"/>
      <c r="B225" s="158"/>
      <c r="C225" s="199" t="s">
        <v>226</v>
      </c>
      <c r="D225" s="198">
        <v>0.3</v>
      </c>
      <c r="E225" s="199" t="str">
        <f>"m                            "&amp;H217&amp;" ="</f>
        <v>m                            3P =</v>
      </c>
      <c r="F225" s="200">
        <f>$F$146/$I$146*LEFT(H217,1)</f>
        <v>75402</v>
      </c>
      <c r="G225" s="199" t="s">
        <v>97</v>
      </c>
      <c r="H225" s="180"/>
      <c r="I225" s="180"/>
      <c r="J225" s="180"/>
      <c r="K225" s="180"/>
    </row>
    <row r="226" spans="1:11" ht="15" hidden="1">
      <c r="A226" s="165"/>
      <c r="B226" s="158"/>
      <c r="C226" s="199" t="s">
        <v>229</v>
      </c>
      <c r="D226" s="198">
        <v>0.4</v>
      </c>
      <c r="E226" s="199" t="str">
        <f>"m                            "&amp;I217&amp;" ="</f>
        <v>m                            4P =</v>
      </c>
      <c r="F226" s="200">
        <f>$F$146/$I$146*LEFT(I217,1)</f>
        <v>100536</v>
      </c>
      <c r="G226" s="199" t="s">
        <v>97</v>
      </c>
      <c r="H226" s="180"/>
      <c r="I226" s="180"/>
      <c r="J226" s="180"/>
      <c r="K226" s="180"/>
    </row>
    <row r="227" spans="1:11" ht="15" hidden="1">
      <c r="A227" s="165"/>
      <c r="B227" s="158"/>
      <c r="C227" s="180" t="s">
        <v>220</v>
      </c>
      <c r="D227" s="198">
        <v>0.55</v>
      </c>
      <c r="E227" s="180" t="s">
        <v>53</v>
      </c>
      <c r="F227" s="180"/>
      <c r="G227" s="180"/>
      <c r="H227" s="180"/>
      <c r="I227" s="180"/>
      <c r="J227" s="180"/>
      <c r="K227" s="180"/>
    </row>
    <row r="228" spans="1:11" ht="15" hidden="1">
      <c r="A228" s="165"/>
      <c r="B228" s="158"/>
      <c r="C228" s="180"/>
      <c r="D228" s="198"/>
      <c r="E228" s="180"/>
      <c r="F228" s="180"/>
      <c r="G228" s="180"/>
      <c r="H228" s="180"/>
      <c r="I228" s="180"/>
      <c r="J228" s="180"/>
      <c r="K228" s="180"/>
    </row>
    <row r="229" spans="1:11" ht="15" hidden="1">
      <c r="A229" s="165"/>
      <c r="B229" s="158"/>
      <c r="C229" s="180" t="s">
        <v>74</v>
      </c>
      <c r="D229" s="174" t="s">
        <v>46</v>
      </c>
      <c r="E229" s="180" t="str">
        <f>"1.2 x ( "&amp;(LEFT(F217,2)&amp;".L1+ ")&amp;(LEFT(G217,2)&amp;".L2+ ")&amp;(LEFT(H217,2)&amp;".L3+ ")&amp;(LEFT(I217,2)&amp;".L4 ")&amp;"- 1/2.Q.L^2) "</f>
        <v>1.2 x ( 1P.L1+ 2P.L2+ 3P.L3+ 4P.L4 - 1/2.Q.L^2) </v>
      </c>
      <c r="G229" s="169"/>
      <c r="I229" s="180"/>
      <c r="J229" s="180"/>
      <c r="K229" s="180"/>
    </row>
    <row r="230" spans="1:11" ht="15" hidden="1">
      <c r="A230" s="165"/>
      <c r="B230" s="158"/>
      <c r="C230" s="201"/>
      <c r="D230" s="174" t="s">
        <v>46</v>
      </c>
      <c r="E230" s="180" t="str">
        <f>"1.2 x ("&amp;F223&amp;"x"&amp;D223&amp;"+"&amp;F224&amp;"x"&amp;D224&amp;"+"&amp;F225&amp;"x"&amp;D225&amp;"+"&amp;F226&amp;"x"&amp;D226&amp;"-1/2x"&amp;$G$118&amp;"x"&amp;D227&amp;"^2)"</f>
        <v>1.2 x (25134x0,1+50268x0,2+75402x0,3+100536x0,4-1/2x1320x0,55^2)</v>
      </c>
      <c r="I230" s="180"/>
      <c r="J230" s="180"/>
      <c r="K230" s="180"/>
    </row>
    <row r="231" spans="1:11" ht="15" hidden="1">
      <c r="A231" s="165"/>
      <c r="B231" s="158"/>
      <c r="C231" s="181"/>
      <c r="D231" s="187"/>
      <c r="E231" s="180"/>
      <c r="F231" s="202" t="s">
        <v>46</v>
      </c>
      <c r="G231" s="180">
        <f>1.2*((F223*D223)+(F224*D224)+(F225*D225)+(F226*D226)-(0.5*$G$118*D227^2))</f>
        <v>90242.82</v>
      </c>
      <c r="H231" s="180" t="s">
        <v>69</v>
      </c>
      <c r="I231" s="180"/>
      <c r="J231" s="180"/>
      <c r="K231" s="180"/>
    </row>
    <row r="232" spans="1:11" ht="15" hidden="1">
      <c r="A232" s="165"/>
      <c r="B232" s="158"/>
      <c r="C232" s="181"/>
      <c r="D232" s="187"/>
      <c r="E232" s="180"/>
      <c r="F232" s="202"/>
      <c r="G232" s="180"/>
      <c r="H232" s="180"/>
      <c r="I232" s="180"/>
      <c r="J232" s="180"/>
      <c r="K232" s="180"/>
    </row>
    <row r="233" spans="1:11" ht="15" hidden="1">
      <c r="A233" s="165"/>
      <c r="B233" s="158"/>
      <c r="C233" s="203" t="s">
        <v>230</v>
      </c>
      <c r="D233" s="187"/>
      <c r="E233" s="180"/>
      <c r="F233" s="190" t="s">
        <v>46</v>
      </c>
      <c r="G233" s="204">
        <v>1</v>
      </c>
      <c r="H233" s="180"/>
      <c r="I233" s="180"/>
      <c r="J233" s="180"/>
      <c r="K233" s="180"/>
    </row>
    <row r="234" spans="1:11" ht="15" hidden="1">
      <c r="A234" s="165"/>
      <c r="B234" s="158"/>
      <c r="C234" s="181"/>
      <c r="D234" s="187"/>
      <c r="E234" s="180"/>
      <c r="F234" s="202"/>
      <c r="G234" s="180"/>
      <c r="H234" s="180"/>
      <c r="I234" s="180"/>
      <c r="J234" s="180"/>
      <c r="K234" s="180"/>
    </row>
    <row r="235" spans="1:11" ht="15">
      <c r="A235" s="165"/>
      <c r="B235" s="158"/>
      <c r="C235" s="180" t="s">
        <v>231</v>
      </c>
      <c r="D235" s="180"/>
      <c r="F235" s="202"/>
      <c r="I235" s="180"/>
      <c r="J235" s="180"/>
      <c r="K235" s="180"/>
    </row>
    <row r="236" spans="1:11" ht="15">
      <c r="A236" s="165"/>
      <c r="B236" s="158"/>
      <c r="C236" s="180"/>
      <c r="D236" s="202" t="s">
        <v>46</v>
      </c>
      <c r="E236" s="169" t="str">
        <f>J159/1000&amp;" x "&amp;J160/1000&amp;" x 2400"</f>
        <v>0,5 x 1,1 x 2400</v>
      </c>
      <c r="F236" s="202" t="s">
        <v>46</v>
      </c>
      <c r="G236" s="189">
        <f>J159/1000*J160/1000*2400</f>
        <v>1320</v>
      </c>
      <c r="H236" s="180" t="s">
        <v>232</v>
      </c>
      <c r="I236" s="180"/>
      <c r="J236" s="180"/>
      <c r="K236" s="180"/>
    </row>
    <row r="237" spans="1:11" ht="15">
      <c r="A237" s="165"/>
      <c r="B237" s="158"/>
      <c r="C237" s="181"/>
      <c r="D237" s="187"/>
      <c r="E237" s="180"/>
      <c r="F237" s="185"/>
      <c r="G237" s="180"/>
      <c r="H237" s="180"/>
      <c r="I237" s="180"/>
      <c r="J237" s="189"/>
      <c r="K237" s="180"/>
    </row>
    <row r="238" spans="1:11" ht="15">
      <c r="A238" s="165"/>
      <c r="B238" s="158"/>
      <c r="C238" s="191" t="str">
        <f>"pmin"</f>
        <v>pmin</v>
      </c>
      <c r="D238" s="205" t="s">
        <v>46</v>
      </c>
      <c r="E238" s="191"/>
      <c r="F238" s="202" t="s">
        <v>46</v>
      </c>
      <c r="G238" s="206">
        <v>0.0025</v>
      </c>
      <c r="H238" s="180"/>
      <c r="I238" s="180"/>
      <c r="J238" s="180"/>
      <c r="K238" s="180"/>
    </row>
    <row r="239" spans="1:11" ht="15">
      <c r="A239" s="165"/>
      <c r="B239" s="158"/>
      <c r="C239" s="180" t="str">
        <f>"pmaks"</f>
        <v>pmaks</v>
      </c>
      <c r="D239" s="205" t="s">
        <v>46</v>
      </c>
      <c r="E239" s="180" t="str">
        <f>"0,75 x (0,85 x "&amp;F159&amp;")/"&amp;F160&amp;" x 0,85 x [600/(600+"&amp;F160&amp;")]"</f>
        <v>0,75 x (0,85 x 25)/350 x 0,85 x [600/(600+350)]</v>
      </c>
      <c r="F239" s="180"/>
      <c r="G239" s="180"/>
      <c r="H239" s="180"/>
      <c r="I239" s="180"/>
      <c r="J239" s="180"/>
      <c r="K239" s="180"/>
    </row>
    <row r="240" spans="1:11" ht="15">
      <c r="A240" s="165"/>
      <c r="B240" s="158"/>
      <c r="C240" s="180"/>
      <c r="D240" s="180"/>
      <c r="E240" s="180"/>
      <c r="F240" s="202" t="s">
        <v>46</v>
      </c>
      <c r="G240" s="206">
        <f>0.75*(0.85*F159)/F160*0.85*(600/(600+F160))</f>
        <v>0.024445488721804506</v>
      </c>
      <c r="H240" s="180"/>
      <c r="I240" s="180"/>
      <c r="J240" s="180"/>
      <c r="K240" s="180"/>
    </row>
    <row r="241" spans="1:11" ht="15">
      <c r="A241" s="165"/>
      <c r="B241" s="158"/>
      <c r="C241" s="180"/>
      <c r="D241" s="180"/>
      <c r="E241" s="180"/>
      <c r="F241" s="202"/>
      <c r="G241" s="206"/>
      <c r="H241" s="180"/>
      <c r="I241" s="180"/>
      <c r="J241" s="180"/>
      <c r="K241" s="180"/>
    </row>
    <row r="242" spans="1:11" ht="15">
      <c r="A242" s="165"/>
      <c r="B242" s="158"/>
      <c r="C242" s="180" t="str">
        <f>"Mu"</f>
        <v>Mu</v>
      </c>
      <c r="D242" s="205" t="s">
        <v>46</v>
      </c>
      <c r="E242" s="180" t="str">
        <f>IF(G233=1,G176,IF(G233=2,G192,IF(G233=3,G211,IF(G233=4,G231,0))))&amp;" kgm"</f>
        <v>17856,9 kgm</v>
      </c>
      <c r="F242" s="202" t="s">
        <v>46</v>
      </c>
      <c r="G242" s="207">
        <f>IF(G233=1,G176,IF(G233=2,G192,IF(G233=3,G211,IF(G233=4,G231,0))))/100</f>
        <v>178.569</v>
      </c>
      <c r="H242" s="180" t="s">
        <v>73</v>
      </c>
      <c r="I242" s="180"/>
      <c r="J242" s="180"/>
      <c r="K242" s="180"/>
    </row>
    <row r="243" spans="1:11" ht="15">
      <c r="A243" s="165"/>
      <c r="B243" s="158"/>
      <c r="C243" s="180" t="str">
        <f>"d "</f>
        <v>d </v>
      </c>
      <c r="D243" s="205" t="s">
        <v>46</v>
      </c>
      <c r="E243" s="180" t="str">
        <f>J159&amp;" - "&amp;F161</f>
        <v>500 - 60</v>
      </c>
      <c r="F243" s="202" t="s">
        <v>46</v>
      </c>
      <c r="G243" s="180">
        <f>J159-F161</f>
        <v>440</v>
      </c>
      <c r="H243" s="180" t="s">
        <v>71</v>
      </c>
      <c r="I243" s="180"/>
      <c r="J243" s="180"/>
      <c r="K243" s="180"/>
    </row>
    <row r="244" spans="1:11" ht="15">
      <c r="A244" s="165"/>
      <c r="B244" s="158"/>
      <c r="C244" s="208" t="s">
        <v>81</v>
      </c>
      <c r="D244" s="202" t="s">
        <v>46</v>
      </c>
      <c r="E244" s="182">
        <v>0.8</v>
      </c>
      <c r="F244" s="180"/>
      <c r="G244" s="180"/>
      <c r="H244" s="180"/>
      <c r="I244" s="180"/>
      <c r="J244" s="180"/>
      <c r="K244" s="180"/>
    </row>
    <row r="245" spans="1:11" ht="15">
      <c r="A245" s="165"/>
      <c r="B245" s="158"/>
      <c r="C245" s="208"/>
      <c r="D245" s="202"/>
      <c r="E245" s="182"/>
      <c r="F245" s="180"/>
      <c r="G245" s="180"/>
      <c r="H245" s="180"/>
      <c r="I245" s="180"/>
      <c r="J245" s="180"/>
      <c r="K245" s="180"/>
    </row>
    <row r="246" spans="1:11" ht="15">
      <c r="A246" s="165"/>
      <c r="B246" s="158"/>
      <c r="C246" s="180" t="str">
        <f>"Rn"</f>
        <v>Rn</v>
      </c>
      <c r="D246" s="202" t="s">
        <v>46</v>
      </c>
      <c r="E246" s="209" t="str">
        <f>"("&amp;FIXED(G242,2)&amp;" x 10^6)"</f>
        <v>(178,57 x 10^6)</v>
      </c>
      <c r="F246" s="202" t="s">
        <v>46</v>
      </c>
      <c r="G246" s="206">
        <f>(G242*10^6)/(0.8*J160*G243^2)</f>
        <v>1.0481369740796393</v>
      </c>
      <c r="H246" s="180" t="s">
        <v>44</v>
      </c>
      <c r="I246" s="180"/>
      <c r="J246" s="180"/>
      <c r="K246" s="180"/>
    </row>
    <row r="247" spans="1:11" ht="15">
      <c r="A247" s="165"/>
      <c r="B247" s="158"/>
      <c r="C247" s="180"/>
      <c r="D247" s="180"/>
      <c r="E247" s="202" t="str">
        <f>"(0,8 x "&amp;J160&amp;" x "&amp;G243&amp;"^2)"</f>
        <v>(0,8 x 1100 x 440^2)</v>
      </c>
      <c r="F247" s="180"/>
      <c r="G247" s="180"/>
      <c r="H247" s="180"/>
      <c r="I247" s="180"/>
      <c r="J247" s="180"/>
      <c r="K247" s="180"/>
    </row>
    <row r="248" spans="1:11" ht="15">
      <c r="A248" s="165"/>
      <c r="B248" s="158"/>
      <c r="C248" s="180" t="s">
        <v>82</v>
      </c>
      <c r="D248" s="202" t="s">
        <v>46</v>
      </c>
      <c r="E248" s="180" t="str">
        <f>"0,85  { 1 -sqrt[1 - (2,353 x "&amp;FIXED(G246,4)&amp;")/"&amp;F159&amp;"]}"</f>
        <v>0,85  { 1 -sqrt[1 - (2,353 x 1,0481)/25]}</v>
      </c>
      <c r="F248" s="180"/>
      <c r="G248" s="180"/>
      <c r="H248" s="180"/>
      <c r="I248" s="180"/>
      <c r="J248" s="180"/>
      <c r="K248" s="180"/>
    </row>
    <row r="249" spans="1:11" ht="15">
      <c r="A249" s="165"/>
      <c r="B249" s="158"/>
      <c r="C249" s="180"/>
      <c r="D249" s="180"/>
      <c r="E249" s="180"/>
      <c r="F249" s="202" t="s">
        <v>46</v>
      </c>
      <c r="G249" s="206">
        <f>0.85*(1-SQRT(1-(2.353*G246)/F159))</f>
        <v>0.043014929549667215</v>
      </c>
      <c r="H249" s="180"/>
      <c r="I249" s="180"/>
      <c r="J249" s="180"/>
      <c r="K249" s="180"/>
    </row>
    <row r="250" spans="1:11" ht="15">
      <c r="A250" s="165"/>
      <c r="B250" s="158"/>
      <c r="C250" s="180" t="str">
        <f>"p = "&amp;FIXED(G249,4)&amp;" x "&amp;F159&amp;"/"&amp;F160</f>
        <v>p = 0,0430 x 25/350</v>
      </c>
      <c r="D250" s="180"/>
      <c r="E250" s="180"/>
      <c r="F250" s="202" t="s">
        <v>46</v>
      </c>
      <c r="G250" s="206">
        <f>G249*F159/F160</f>
        <v>0.0030724949678333723</v>
      </c>
      <c r="H250" s="202" t="s">
        <v>233</v>
      </c>
      <c r="I250" s="206">
        <f>G238</f>
        <v>0.0025</v>
      </c>
      <c r="J250" s="180"/>
      <c r="K250" s="180"/>
    </row>
    <row r="251" spans="1:11" ht="15">
      <c r="A251" s="165"/>
      <c r="B251" s="158"/>
      <c r="C251" s="180"/>
      <c r="D251" s="180"/>
      <c r="E251" s="180"/>
      <c r="F251" s="180"/>
      <c r="G251" s="180"/>
      <c r="H251" s="202" t="s">
        <v>96</v>
      </c>
      <c r="I251" s="206">
        <f>G240</f>
        <v>0.024445488721804506</v>
      </c>
      <c r="J251" s="180"/>
      <c r="K251" s="180"/>
    </row>
    <row r="252" spans="1:11" ht="15">
      <c r="A252" s="165"/>
      <c r="B252" s="158"/>
      <c r="C252" s="180"/>
      <c r="D252" s="180"/>
      <c r="E252" s="194" t="s">
        <v>75</v>
      </c>
      <c r="F252" s="202" t="s">
        <v>46</v>
      </c>
      <c r="G252" s="210">
        <f>IF(G250&lt;I250,I250,IF(G250&gt;I251,"ganti dimensi",G250))</f>
        <v>0.0030724949678333723</v>
      </c>
      <c r="H252" s="180"/>
      <c r="I252" s="180"/>
      <c r="J252" s="180"/>
      <c r="K252" s="180"/>
    </row>
    <row r="253" spans="1:11" ht="15">
      <c r="A253" s="165"/>
      <c r="B253" s="158"/>
      <c r="C253" s="180" t="str">
        <f>"As = "&amp;FIXED(G252,4)&amp;" x "&amp;J160&amp;" x "&amp;G243</f>
        <v>As = 0,0031 x 1100 x 440</v>
      </c>
      <c r="D253" s="180"/>
      <c r="E253" s="180"/>
      <c r="F253" s="202" t="s">
        <v>46</v>
      </c>
      <c r="G253" s="211">
        <f>G252*J160*G243</f>
        <v>1487.0875644313523</v>
      </c>
      <c r="H253" s="180" t="s">
        <v>76</v>
      </c>
      <c r="I253" s="180"/>
      <c r="J253" s="180"/>
      <c r="K253" s="180"/>
    </row>
    <row r="254" spans="1:11" ht="15">
      <c r="A254" s="165"/>
      <c r="B254" s="158"/>
      <c r="C254" s="180"/>
      <c r="D254" s="180"/>
      <c r="E254" s="180"/>
      <c r="F254" s="202"/>
      <c r="G254" s="211"/>
      <c r="H254" s="180"/>
      <c r="I254" s="180"/>
      <c r="J254" s="180"/>
      <c r="K254" s="180"/>
    </row>
    <row r="255" spans="1:11" ht="15">
      <c r="A255" s="165"/>
      <c r="B255" s="158"/>
      <c r="C255" s="180"/>
      <c r="D255" s="180"/>
      <c r="E255" s="180"/>
      <c r="F255" s="212" t="s">
        <v>76</v>
      </c>
      <c r="G255" s="211" t="s">
        <v>234</v>
      </c>
      <c r="H255" s="180"/>
      <c r="I255" s="180"/>
      <c r="J255" s="180"/>
      <c r="K255" s="180"/>
    </row>
    <row r="256" spans="1:11" ht="15">
      <c r="A256" s="165"/>
      <c r="B256" s="158"/>
      <c r="C256" s="213" t="s">
        <v>235</v>
      </c>
      <c r="E256" s="214"/>
      <c r="F256" s="215">
        <f>G253</f>
        <v>1487.0875644313523</v>
      </c>
      <c r="G256" s="216" t="s">
        <v>236</v>
      </c>
      <c r="H256" s="26" t="str">
        <f>IF(MID(G256,3,1)=" ","( "&amp;FIXED(0.25*PI()*(MID(G256,2,1))^2*1000/(MID(G256,6,3)),0)&amp;" mm2 )","( "&amp;FIXED(0.25*PI()*(MID(G256,2,2))^2*1000/(MID(G256,7,3)),0)&amp;" mm2 )")</f>
        <v>( 1.620 mm2 )</v>
      </c>
      <c r="I256" s="180"/>
      <c r="J256" s="180"/>
      <c r="K256" s="180"/>
    </row>
    <row r="257" spans="1:11" ht="15">
      <c r="A257" s="165"/>
      <c r="B257" s="158"/>
      <c r="C257" s="213" t="s">
        <v>246</v>
      </c>
      <c r="E257" s="214"/>
      <c r="F257" s="215">
        <f>20/100*F256</f>
        <v>297.41751288627046</v>
      </c>
      <c r="G257" s="216" t="s">
        <v>237</v>
      </c>
      <c r="H257" s="26" t="str">
        <f>IF(MID(G257,3,1)=" ","( "&amp;FIXED(0.25*PI()*(MID(G257,2,1))^2*1000/(MID(G257,6,3)),0)&amp;" mm2 )","( "&amp;FIXED(0.25*PI()*(MID(G257,2,2))^2*1000/(MID(G257,7,3)),0)&amp;" mm2 )")</f>
        <v>( 449 mm2 )</v>
      </c>
      <c r="I257" s="180"/>
      <c r="J257" s="180"/>
      <c r="K257" s="180"/>
    </row>
    <row r="258" ht="15">
      <c r="A258" s="165"/>
    </row>
    <row r="259" ht="12.75">
      <c r="A259" s="158"/>
    </row>
    <row r="260" ht="12.75">
      <c r="A260" s="158"/>
    </row>
    <row r="261" ht="12.75">
      <c r="A261" s="158"/>
    </row>
    <row r="262" ht="12.75">
      <c r="A262" s="158"/>
    </row>
    <row r="263" ht="12.75">
      <c r="A263" s="158"/>
    </row>
    <row r="264" ht="12.75">
      <c r="A264" s="158"/>
    </row>
    <row r="265" ht="12.75">
      <c r="A265" s="158"/>
    </row>
    <row r="266" ht="12.75">
      <c r="A266" s="158"/>
    </row>
    <row r="267" ht="12.75">
      <c r="A267" s="158"/>
    </row>
    <row r="268" ht="12.75">
      <c r="A268" s="158"/>
    </row>
    <row r="269" ht="12.75">
      <c r="A269" s="158"/>
    </row>
    <row r="270" ht="12.75">
      <c r="A270" s="158"/>
    </row>
    <row r="271" ht="12.75">
      <c r="A271" s="158"/>
    </row>
    <row r="272" ht="12.75">
      <c r="A272" s="158"/>
    </row>
    <row r="273" ht="12.75">
      <c r="A273" s="158"/>
    </row>
    <row r="274" ht="12.75">
      <c r="A274" s="158"/>
    </row>
    <row r="275" ht="12.75">
      <c r="A275" s="158"/>
    </row>
    <row r="276" ht="12.75">
      <c r="A276" s="158"/>
    </row>
    <row r="277" ht="12.75">
      <c r="A277" s="158"/>
    </row>
    <row r="278" ht="12.75">
      <c r="A278" s="158"/>
    </row>
    <row r="279" ht="12.75">
      <c r="A279" s="158"/>
    </row>
    <row r="280" ht="12.75">
      <c r="A280" s="158"/>
    </row>
    <row r="281" ht="12.75">
      <c r="A281" s="158"/>
    </row>
    <row r="282" ht="12.75">
      <c r="A282" s="158"/>
    </row>
    <row r="283" ht="12.75">
      <c r="A283" s="158"/>
    </row>
    <row r="284" ht="12.75">
      <c r="A284" s="158"/>
    </row>
    <row r="285" ht="12.75">
      <c r="A285" s="158"/>
    </row>
    <row r="286" ht="12.75">
      <c r="A286" s="158"/>
    </row>
    <row r="287" ht="12.75">
      <c r="A287" s="158"/>
    </row>
    <row r="288" ht="12.75">
      <c r="A288" s="158"/>
    </row>
    <row r="289" ht="12.75">
      <c r="A289" s="158"/>
    </row>
    <row r="290" ht="12.75">
      <c r="A290" s="158"/>
    </row>
    <row r="291" ht="12.75">
      <c r="A291" s="158"/>
    </row>
    <row r="292" ht="12.75">
      <c r="A292" s="158"/>
    </row>
    <row r="293" ht="12.75">
      <c r="A293" s="158"/>
    </row>
    <row r="294" ht="12.75">
      <c r="A294" s="158"/>
    </row>
    <row r="295" ht="12.75">
      <c r="A295" s="158"/>
    </row>
    <row r="296" ht="12.75">
      <c r="A296" s="158"/>
    </row>
    <row r="297" ht="12.75">
      <c r="A297" s="158"/>
    </row>
    <row r="298" ht="12.75">
      <c r="A298" s="158"/>
    </row>
    <row r="299" ht="12.75">
      <c r="A299" s="158"/>
    </row>
    <row r="300" ht="12.75">
      <c r="A300" s="158"/>
    </row>
    <row r="301" ht="12.75">
      <c r="A301" s="158"/>
    </row>
    <row r="302" ht="12.75">
      <c r="A302" s="158"/>
    </row>
    <row r="303" ht="12.75">
      <c r="A303" s="158"/>
    </row>
    <row r="304" ht="12.75">
      <c r="A304" s="158"/>
    </row>
    <row r="305" ht="12.75">
      <c r="A305" s="158"/>
    </row>
    <row r="306" ht="12.75">
      <c r="A306" s="158"/>
    </row>
    <row r="307" ht="12.75">
      <c r="A307" s="158"/>
    </row>
    <row r="308" ht="12.75">
      <c r="A308" s="158"/>
    </row>
    <row r="309" ht="12.75">
      <c r="A309" s="158"/>
    </row>
    <row r="310" ht="12.75">
      <c r="A310" s="158"/>
    </row>
    <row r="311" ht="12.75">
      <c r="A311" s="158"/>
    </row>
    <row r="312" ht="12.75">
      <c r="A312" s="158"/>
    </row>
    <row r="313" ht="12.75">
      <c r="A313" s="158"/>
    </row>
    <row r="314" ht="12.75">
      <c r="A314" s="158"/>
    </row>
    <row r="315" ht="12.75">
      <c r="A315" s="158"/>
    </row>
    <row r="316" ht="12.75">
      <c r="A316" s="158"/>
    </row>
    <row r="317" ht="12.75">
      <c r="A317" s="158"/>
    </row>
    <row r="318" ht="12.75">
      <c r="A318" s="158"/>
    </row>
  </sheetData>
  <sheetProtection/>
  <mergeCells count="8">
    <mergeCell ref="E169:F169"/>
    <mergeCell ref="E184:F184"/>
    <mergeCell ref="E202:F202"/>
    <mergeCell ref="E221:F221"/>
    <mergeCell ref="E51:F51"/>
    <mergeCell ref="E66:F66"/>
    <mergeCell ref="E84:F84"/>
    <mergeCell ref="E103:F103"/>
  </mergeCells>
  <printOptions/>
  <pageMargins left="1.2" right="0.78" top="0.82" bottom="1.53" header="0.79" footer="1.4"/>
  <pageSetup firstPageNumber="17" useFirstPageNumber="1" horizontalDpi="300" verticalDpi="300" orientation="portrait" paperSize="9" scale="80" r:id="rId2"/>
  <headerFooter alignWithMargins="0">
    <oddFooter>&amp;CHAL. A-&amp;P&amp;R&amp;"Arial Narrow,Italic"&amp;8GEDUNG DAKWAH MUHAMMADIYAH
KABUPATEN GRESIK
ALCO - TS/21JAN2008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B4:L142"/>
  <sheetViews>
    <sheetView showGridLines="0" zoomScalePageLayoutView="0" workbookViewId="0" topLeftCell="A49">
      <selection activeCell="L19" sqref="L19"/>
    </sheetView>
  </sheetViews>
  <sheetFormatPr defaultColWidth="9.140625" defaultRowHeight="12.75"/>
  <cols>
    <col min="1" max="1" width="5.421875" style="0" customWidth="1"/>
    <col min="2" max="2" width="13.140625" style="0" customWidth="1"/>
    <col min="3" max="3" width="2.140625" style="0" customWidth="1"/>
    <col min="4" max="4" width="22.421875" style="0" customWidth="1"/>
    <col min="6" max="6" width="7.7109375" style="0" customWidth="1"/>
    <col min="7" max="7" width="9.57421875" style="0" customWidth="1"/>
    <col min="8" max="8" width="8.57421875" style="0" customWidth="1"/>
    <col min="9" max="9" width="3.00390625" style="0" customWidth="1"/>
    <col min="10" max="10" width="10.57421875" style="0" customWidth="1"/>
    <col min="11" max="11" width="7.00390625" style="0" customWidth="1"/>
  </cols>
  <sheetData>
    <row r="4" spans="2:4" ht="22.5">
      <c r="B4" s="10" t="str">
        <f>"PENULANGAN PLAT TANGGA ATAS DAN BAWAH"</f>
        <v>PENULANGAN PLAT TANGGA ATAS DAN BAWAH</v>
      </c>
      <c r="C4" s="11"/>
      <c r="D4" s="11"/>
    </row>
    <row r="5" spans="2:7" ht="15.75">
      <c r="B5" s="9"/>
      <c r="C5" s="9"/>
      <c r="D5" s="9"/>
      <c r="G5" s="12"/>
    </row>
    <row r="6" spans="2:4" ht="15">
      <c r="B6" s="13" t="s">
        <v>52</v>
      </c>
      <c r="C6" s="25"/>
      <c r="D6" s="25"/>
    </row>
    <row r="7" spans="2:4" ht="12.75">
      <c r="B7" s="217" t="s">
        <v>536</v>
      </c>
      <c r="C7" s="25"/>
      <c r="D7" s="25"/>
    </row>
    <row r="8" spans="2:4" ht="12.75">
      <c r="B8" s="217" t="s">
        <v>247</v>
      </c>
      <c r="C8" s="25"/>
      <c r="D8" s="25"/>
    </row>
    <row r="9" spans="2:9" ht="12.75">
      <c r="B9" t="s">
        <v>45</v>
      </c>
      <c r="E9" s="15">
        <v>0.15</v>
      </c>
      <c r="F9" t="s">
        <v>53</v>
      </c>
      <c r="G9" s="18" t="s">
        <v>43</v>
      </c>
      <c r="H9" s="15">
        <v>22.5</v>
      </c>
      <c r="I9" t="s">
        <v>44</v>
      </c>
    </row>
    <row r="10" spans="2:9" ht="12.75">
      <c r="B10" t="s">
        <v>55</v>
      </c>
      <c r="E10" s="15">
        <v>2</v>
      </c>
      <c r="F10" t="s">
        <v>42</v>
      </c>
      <c r="G10" s="18" t="s">
        <v>72</v>
      </c>
      <c r="H10" s="15">
        <v>320</v>
      </c>
      <c r="I10" t="s">
        <v>44</v>
      </c>
    </row>
    <row r="11" spans="2:9" ht="12.75">
      <c r="B11" t="s">
        <v>56</v>
      </c>
      <c r="E11" s="15">
        <v>3</v>
      </c>
      <c r="F11" t="s">
        <v>42</v>
      </c>
      <c r="G11" s="18" t="s">
        <v>248</v>
      </c>
      <c r="H11" s="15">
        <v>20</v>
      </c>
      <c r="I11" t="s">
        <v>71</v>
      </c>
    </row>
    <row r="12" spans="2:9" ht="12.75">
      <c r="B12" t="s">
        <v>537</v>
      </c>
      <c r="E12" s="15">
        <v>0</v>
      </c>
      <c r="F12" t="s">
        <v>54</v>
      </c>
      <c r="G12" s="27" t="s">
        <v>249</v>
      </c>
      <c r="H12" s="15">
        <v>1.5</v>
      </c>
      <c r="I12" t="s">
        <v>53</v>
      </c>
    </row>
    <row r="13" spans="2:9" ht="12.75">
      <c r="B13" t="s">
        <v>538</v>
      </c>
      <c r="E13" s="15">
        <v>0</v>
      </c>
      <c r="F13" t="s">
        <v>54</v>
      </c>
      <c r="G13" s="8" t="s">
        <v>250</v>
      </c>
      <c r="H13" s="15">
        <v>0.3</v>
      </c>
      <c r="I13" t="s">
        <v>53</v>
      </c>
    </row>
    <row r="14" spans="2:9" ht="12.75">
      <c r="B14" t="s">
        <v>539</v>
      </c>
      <c r="E14" s="15">
        <v>0</v>
      </c>
      <c r="F14" t="s">
        <v>54</v>
      </c>
      <c r="G14" t="s">
        <v>251</v>
      </c>
      <c r="H14" s="15">
        <v>0.17</v>
      </c>
      <c r="I14" t="s">
        <v>53</v>
      </c>
    </row>
    <row r="15" spans="2:9" ht="12.75">
      <c r="B15" t="s">
        <v>57</v>
      </c>
      <c r="E15" s="15">
        <v>0</v>
      </c>
      <c r="F15" t="s">
        <v>53</v>
      </c>
      <c r="G15" s="20" t="s">
        <v>48</v>
      </c>
      <c r="H15" s="352">
        <f>ATAN2(E32,D26)*180/PI()</f>
        <v>45</v>
      </c>
      <c r="I15" t="s">
        <v>252</v>
      </c>
    </row>
    <row r="16" spans="2:6" ht="12.75">
      <c r="B16" t="s">
        <v>58</v>
      </c>
      <c r="E16" s="15">
        <v>300</v>
      </c>
      <c r="F16" t="s">
        <v>54</v>
      </c>
    </row>
    <row r="17" ht="12.75">
      <c r="E17" s="7"/>
    </row>
    <row r="18" ht="12.75">
      <c r="E18" s="7"/>
    </row>
    <row r="19" ht="12.75">
      <c r="E19" s="7"/>
    </row>
    <row r="20" spans="2:5" ht="15">
      <c r="B20" s="13" t="s">
        <v>540</v>
      </c>
      <c r="E20" s="7"/>
    </row>
    <row r="21" ht="12.75">
      <c r="E21" s="7"/>
    </row>
    <row r="22" spans="4:5" ht="12.75">
      <c r="D22" t="str">
        <f>FIXED(F66*F67/D64,2)&amp;" kg/m"</f>
        <v>1.472,54 kg/m</v>
      </c>
      <c r="E22" s="7"/>
    </row>
    <row r="23" ht="12.75">
      <c r="E23" s="7"/>
    </row>
    <row r="24" ht="12.75">
      <c r="E24" s="7" t="str">
        <f>FIXED(D63,2)&amp;" kg/m"</f>
        <v>1.472,54 kg/m</v>
      </c>
    </row>
    <row r="25" ht="12.75">
      <c r="E25" s="7"/>
    </row>
    <row r="26" spans="4:5" ht="12.75">
      <c r="D26" s="36">
        <v>1.5</v>
      </c>
      <c r="E26" s="7" t="s">
        <v>53</v>
      </c>
    </row>
    <row r="27" spans="5:12" ht="12.75">
      <c r="E27" s="7"/>
      <c r="L27" s="24"/>
    </row>
    <row r="28" ht="12.75">
      <c r="E28" s="7"/>
    </row>
    <row r="29" ht="12.75">
      <c r="E29" s="7"/>
    </row>
    <row r="30" ht="12.75">
      <c r="E30" s="7"/>
    </row>
    <row r="31" ht="12.75">
      <c r="E31" s="7"/>
    </row>
    <row r="32" spans="4:6" ht="12.75">
      <c r="D32" s="16" t="str">
        <f>MID(B65,42,3)*0.01&amp;" m"</f>
        <v>2 m</v>
      </c>
      <c r="E32" s="15">
        <f>H12</f>
        <v>1.5</v>
      </c>
      <c r="F32" t="s">
        <v>53</v>
      </c>
    </row>
    <row r="33" ht="12.75">
      <c r="E33" s="7"/>
    </row>
    <row r="34" ht="12.75">
      <c r="E34" s="7"/>
    </row>
    <row r="35" ht="12.75">
      <c r="E35" s="7"/>
    </row>
    <row r="36" ht="12.75">
      <c r="E36" s="7"/>
    </row>
    <row r="37" ht="12.75">
      <c r="E37" s="7" t="str">
        <f>"q = "&amp;FIXED(F58,2)&amp;" kg/m2"</f>
        <v>q = 1.472,54 kg/m2</v>
      </c>
    </row>
    <row r="38" ht="12.75">
      <c r="E38" s="7"/>
    </row>
    <row r="39" ht="12.75">
      <c r="E39" s="7"/>
    </row>
    <row r="40" ht="12.75">
      <c r="E40" s="7"/>
    </row>
    <row r="42" ht="15">
      <c r="B42" s="13" t="s">
        <v>40</v>
      </c>
    </row>
    <row r="43" ht="12.75">
      <c r="B43" s="14" t="s">
        <v>253</v>
      </c>
    </row>
    <row r="44" spans="2:4" ht="12.75">
      <c r="B44" s="17" t="s">
        <v>59</v>
      </c>
      <c r="C44" s="17"/>
      <c r="D44" s="17"/>
    </row>
    <row r="45" spans="2:3" ht="12.75">
      <c r="B45" t="s">
        <v>60</v>
      </c>
      <c r="C45" t="s">
        <v>46</v>
      </c>
    </row>
    <row r="46" spans="3:7" ht="12.75">
      <c r="C46" t="str">
        <f>"["&amp;E9&amp;"/cosA + "&amp;H14&amp;"/2] x 2400"</f>
        <v>[0,15/cosA + 0,17/2] x 2400</v>
      </c>
      <c r="E46" s="18" t="s">
        <v>46</v>
      </c>
      <c r="F46">
        <f>((E9/COS(H15*PI()/180))+(0.5*H14))*2400</f>
        <v>713.1168824543142</v>
      </c>
      <c r="G46" t="s">
        <v>54</v>
      </c>
    </row>
    <row r="47" spans="2:6" ht="12.75">
      <c r="B47" t="s">
        <v>61</v>
      </c>
      <c r="D47" t="str">
        <f>"= "&amp;E10&amp;" x 21"</f>
        <v>= 2 x 21</v>
      </c>
      <c r="E47" s="18" t="s">
        <v>46</v>
      </c>
      <c r="F47">
        <f>E10*21</f>
        <v>42</v>
      </c>
    </row>
    <row r="48" spans="2:6" ht="12.75">
      <c r="B48" t="s">
        <v>62</v>
      </c>
      <c r="D48" t="str">
        <f>"= "&amp;E11&amp;" x 24"</f>
        <v>= 3 x 24</v>
      </c>
      <c r="E48" s="18" t="s">
        <v>46</v>
      </c>
      <c r="F48" s="7">
        <f>E11*24</f>
        <v>72</v>
      </c>
    </row>
    <row r="49" spans="2:6" ht="12.75">
      <c r="B49" t="s">
        <v>541</v>
      </c>
      <c r="E49" s="18" t="s">
        <v>46</v>
      </c>
      <c r="F49" s="7">
        <f>E12</f>
        <v>0</v>
      </c>
    </row>
    <row r="50" spans="2:6" ht="12.75">
      <c r="B50" t="s">
        <v>542</v>
      </c>
      <c r="E50" s="18" t="s">
        <v>46</v>
      </c>
      <c r="F50" s="7">
        <f>E13</f>
        <v>0</v>
      </c>
    </row>
    <row r="51" spans="2:6" ht="12.75">
      <c r="B51" t="s">
        <v>543</v>
      </c>
      <c r="E51" s="18" t="s">
        <v>46</v>
      </c>
      <c r="F51" s="3">
        <f>E14</f>
        <v>0</v>
      </c>
    </row>
    <row r="52" spans="4:7" ht="12.75">
      <c r="D52" s="26" t="s">
        <v>63</v>
      </c>
      <c r="E52" s="18" t="s">
        <v>46</v>
      </c>
      <c r="F52">
        <f>SUM(F46:F48)</f>
        <v>827.1168824543142</v>
      </c>
      <c r="G52" t="s">
        <v>54</v>
      </c>
    </row>
    <row r="53" spans="2:4" ht="12.75">
      <c r="B53" s="17" t="s">
        <v>64</v>
      </c>
      <c r="C53" s="17"/>
      <c r="D53" s="17"/>
    </row>
    <row r="54" spans="2:7" ht="12.75">
      <c r="B54" t="s">
        <v>544</v>
      </c>
      <c r="D54" t="str">
        <f>IF(OR(E15="",E15=0)," ","= "&amp;E15&amp;" x 1000")</f>
        <v> </v>
      </c>
      <c r="E54" s="18" t="s">
        <v>46</v>
      </c>
      <c r="F54">
        <f>E15*1000</f>
        <v>0</v>
      </c>
      <c r="G54" t="str">
        <f>IF(E15="","","kg/m2")</f>
        <v>kg/m2</v>
      </c>
    </row>
    <row r="55" spans="2:6" ht="12.75">
      <c r="B55" t="s">
        <v>65</v>
      </c>
      <c r="E55" s="18" t="s">
        <v>46</v>
      </c>
      <c r="F55" s="3">
        <f>E16</f>
        <v>300</v>
      </c>
    </row>
    <row r="56" spans="4:7" ht="12.75">
      <c r="D56" s="26" t="s">
        <v>66</v>
      </c>
      <c r="F56">
        <f>SUM(F54:F55)</f>
        <v>300</v>
      </c>
      <c r="G56" t="s">
        <v>54</v>
      </c>
    </row>
    <row r="57" spans="2:3" ht="12.75">
      <c r="B57" s="17" t="s">
        <v>67</v>
      </c>
      <c r="C57" s="17"/>
    </row>
    <row r="58" spans="2:7" ht="12.75">
      <c r="B58" t="str">
        <f>"D = 1,2 x "&amp;FIXED(F52,2)&amp;" + 1,6 x "&amp;F56</f>
        <v>D = 1,2 x 827,12 + 1,6 x 300</v>
      </c>
      <c r="E58" s="18" t="s">
        <v>46</v>
      </c>
      <c r="F58" s="4">
        <f>1.2*F52+1.6*F56</f>
        <v>1472.540258945177</v>
      </c>
      <c r="G58" t="s">
        <v>54</v>
      </c>
    </row>
    <row r="59" spans="5:6" ht="12.75">
      <c r="E59" s="18"/>
      <c r="F59" s="218"/>
    </row>
    <row r="60" ht="15">
      <c r="B60" s="13" t="s">
        <v>68</v>
      </c>
    </row>
    <row r="61" ht="12.75">
      <c r="B61" s="217" t="s">
        <v>247</v>
      </c>
    </row>
    <row r="62" ht="12.75">
      <c r="B62" s="217" t="s">
        <v>254</v>
      </c>
    </row>
    <row r="63" spans="2:5" ht="12.75">
      <c r="B63" s="18" t="s">
        <v>255</v>
      </c>
      <c r="C63" s="18" t="s">
        <v>46</v>
      </c>
      <c r="D63" s="219">
        <f>F58</f>
        <v>1472.540258945177</v>
      </c>
      <c r="E63" t="s">
        <v>54</v>
      </c>
    </row>
    <row r="64" spans="2:5" ht="12.75">
      <c r="B64" s="18" t="s">
        <v>249</v>
      </c>
      <c r="C64" s="18" t="s">
        <v>46</v>
      </c>
      <c r="D64" s="220">
        <f>H12</f>
        <v>1.5</v>
      </c>
      <c r="E64" t="s">
        <v>53</v>
      </c>
    </row>
    <row r="65" ht="12.75">
      <c r="B65" s="217" t="s">
        <v>548</v>
      </c>
    </row>
    <row r="66" spans="2:7" ht="12.75">
      <c r="B66" s="18" t="s">
        <v>107</v>
      </c>
      <c r="C66" s="18" t="s">
        <v>46</v>
      </c>
      <c r="D66" t="str">
        <f>"1.5 x 0.5 x "&amp;MID(B65,42,3)*0.01&amp;" x "&amp;FIXED(D63,2)</f>
        <v>1.5 x 0.5 x 2 x 1.472,54</v>
      </c>
      <c r="E66" s="18" t="s">
        <v>46</v>
      </c>
      <c r="F66" s="22">
        <f>1.5*0.5*D63*MID(B65,42,3)*0.01</f>
        <v>2208.8103884177654</v>
      </c>
      <c r="G66" t="s">
        <v>97</v>
      </c>
    </row>
    <row r="67" spans="2:7" ht="12.75">
      <c r="B67" s="18" t="s">
        <v>249</v>
      </c>
      <c r="C67" s="18" t="s">
        <v>46</v>
      </c>
      <c r="D67" s="7" t="str">
        <f>D64&amp;" - 0.5 x "&amp;MID(B65,48,3)</f>
        <v>1,5 - 0.5 x 100</v>
      </c>
      <c r="E67" s="18" t="s">
        <v>46</v>
      </c>
      <c r="F67" s="8">
        <f>D64-0.5*MID(B65,48,3)*0.01</f>
        <v>1</v>
      </c>
      <c r="G67" t="s">
        <v>53</v>
      </c>
    </row>
    <row r="68" spans="2:4" ht="12.75">
      <c r="B68" s="18"/>
      <c r="C68" s="18"/>
      <c r="D68" s="37"/>
    </row>
    <row r="69" spans="2:7" ht="12.75">
      <c r="B69" t="s">
        <v>256</v>
      </c>
      <c r="C69" s="18" t="s">
        <v>46</v>
      </c>
      <c r="D69" t="str">
        <f>"1/10 x "&amp;FIXED(D63,2)&amp;" x "&amp;D64&amp;"^2"</f>
        <v>1/10 x 1.472,54 x 1,5^2</v>
      </c>
      <c r="E69" s="18" t="s">
        <v>46</v>
      </c>
      <c r="F69">
        <f>1/10*D63*D64^2</f>
        <v>331.32155826266484</v>
      </c>
      <c r="G69" t="s">
        <v>69</v>
      </c>
    </row>
    <row r="70" spans="2:7" ht="12.75">
      <c r="B70" t="s">
        <v>257</v>
      </c>
      <c r="C70" s="18" t="s">
        <v>46</v>
      </c>
      <c r="D70" s="21" t="str">
        <f>"0.9 x "&amp;FIXED(F66,2)&amp;" x "&amp;FIXED(F67,3)</f>
        <v>0.9 x 2.208,81 x 1,000</v>
      </c>
      <c r="E70" s="18" t="s">
        <v>46</v>
      </c>
      <c r="F70">
        <f>0.9*F66*F67/D64</f>
        <v>1325.2862330506593</v>
      </c>
      <c r="G70" t="s">
        <v>69</v>
      </c>
    </row>
    <row r="71" spans="3:5" ht="12.75">
      <c r="C71" s="18"/>
      <c r="D71" s="18">
        <f>D64</f>
        <v>1.5</v>
      </c>
      <c r="E71" s="18"/>
    </row>
    <row r="72" spans="2:4" ht="15">
      <c r="B72" s="13" t="s">
        <v>70</v>
      </c>
      <c r="C72" s="25"/>
      <c r="D72" s="25"/>
    </row>
    <row r="73" spans="2:4" ht="12.75">
      <c r="B73" s="17" t="s">
        <v>258</v>
      </c>
      <c r="C73" s="25"/>
      <c r="D73" s="25"/>
    </row>
    <row r="74" spans="2:8" ht="12.75">
      <c r="B74" s="18" t="s">
        <v>74</v>
      </c>
      <c r="D74" s="221">
        <f>F69</f>
        <v>331.32155826266484</v>
      </c>
      <c r="E74" t="s">
        <v>69</v>
      </c>
      <c r="F74" s="23" t="s">
        <v>50</v>
      </c>
      <c r="G74" s="7">
        <v>1000</v>
      </c>
      <c r="H74" t="s">
        <v>71</v>
      </c>
    </row>
    <row r="75" spans="2:8" ht="12.75">
      <c r="B75" s="18" t="s">
        <v>43</v>
      </c>
      <c r="D75" s="15">
        <f>H9</f>
        <v>22.5</v>
      </c>
      <c r="E75" t="s">
        <v>44</v>
      </c>
      <c r="F75" s="23" t="s">
        <v>51</v>
      </c>
      <c r="G75" s="15">
        <f>E9*1000</f>
        <v>150</v>
      </c>
      <c r="H75" t="s">
        <v>71</v>
      </c>
    </row>
    <row r="76" spans="2:8" ht="12.75">
      <c r="B76" s="18" t="s">
        <v>72</v>
      </c>
      <c r="D76" s="15">
        <f>H10</f>
        <v>320</v>
      </c>
      <c r="E76" t="s">
        <v>44</v>
      </c>
      <c r="F76" s="18" t="s">
        <v>248</v>
      </c>
      <c r="G76" s="15">
        <f>H11</f>
        <v>20</v>
      </c>
      <c r="H76" t="s">
        <v>71</v>
      </c>
    </row>
    <row r="78" spans="2:6" ht="12.75">
      <c r="B78" s="8" t="str">
        <f>"pmin"</f>
        <v>pmin</v>
      </c>
      <c r="C78" s="27" t="s">
        <v>46</v>
      </c>
      <c r="D78" s="8" t="str">
        <f>"1,4 / "&amp;D76</f>
        <v>1,4 / 320</v>
      </c>
      <c r="E78" s="18" t="s">
        <v>46</v>
      </c>
      <c r="F78" s="30">
        <f>1.4/D76</f>
        <v>0.0043749999999999995</v>
      </c>
    </row>
    <row r="79" spans="2:4" ht="12.75">
      <c r="B79" t="str">
        <f>"pmaks"</f>
        <v>pmaks</v>
      </c>
      <c r="C79" s="27" t="s">
        <v>46</v>
      </c>
      <c r="D79" t="str">
        <f>"0,75 x (0,85 x "&amp;D75&amp;")/"&amp;D76&amp;" x 0,85 x [600/(600+"&amp;D76&amp;")]"</f>
        <v>0,75 x (0,85 x 22,5)/320 x 0,85 x [600/(600+320)]</v>
      </c>
    </row>
    <row r="80" spans="5:6" ht="12.75">
      <c r="E80" s="18" t="s">
        <v>46</v>
      </c>
      <c r="F80" s="30">
        <f>0.75*(0.85*D75)/D76*0.85*(600/(600+D76))</f>
        <v>0.024848208220108695</v>
      </c>
    </row>
    <row r="81" spans="5:6" ht="12.75">
      <c r="E81" s="18"/>
      <c r="F81" s="30"/>
    </row>
    <row r="82" spans="2:7" ht="12.75">
      <c r="B82" t="str">
        <f>"Mu"</f>
        <v>Mu</v>
      </c>
      <c r="C82" s="27" t="s">
        <v>46</v>
      </c>
      <c r="D82" t="str">
        <f>FIXED(D74,2)&amp;" kgm"</f>
        <v>331,32 kgm</v>
      </c>
      <c r="E82" s="18" t="s">
        <v>46</v>
      </c>
      <c r="F82" s="24">
        <f>D74/100</f>
        <v>3.3132155826266483</v>
      </c>
      <c r="G82" t="s">
        <v>73</v>
      </c>
    </row>
    <row r="83" spans="2:7" ht="12.75">
      <c r="B83" t="str">
        <f>"d "</f>
        <v>d </v>
      </c>
      <c r="C83" s="27" t="s">
        <v>46</v>
      </c>
      <c r="D83" t="str">
        <f>G75&amp;" - "&amp;G76</f>
        <v>150 - 20</v>
      </c>
      <c r="E83" s="18" t="s">
        <v>46</v>
      </c>
      <c r="F83">
        <f>G75-G76</f>
        <v>130</v>
      </c>
      <c r="G83" t="s">
        <v>71</v>
      </c>
    </row>
    <row r="84" spans="2:4" ht="12.75">
      <c r="B84" s="31" t="s">
        <v>81</v>
      </c>
      <c r="C84" s="18" t="s">
        <v>46</v>
      </c>
      <c r="D84" s="16">
        <v>0.8</v>
      </c>
    </row>
    <row r="85" spans="2:7" ht="12.75">
      <c r="B85" t="str">
        <f>"Rn"</f>
        <v>Rn</v>
      </c>
      <c r="C85" s="18" t="s">
        <v>46</v>
      </c>
      <c r="D85" s="19" t="str">
        <f>"("&amp;FIXED(F82,2)&amp;" x 10^6)"</f>
        <v>(3,31 x 10^6)</v>
      </c>
      <c r="E85" s="18" t="s">
        <v>46</v>
      </c>
      <c r="F85" s="30">
        <f>(F82*10^6)/(0.8*G74*F83^2)</f>
        <v>0.24506032415877577</v>
      </c>
      <c r="G85" t="s">
        <v>44</v>
      </c>
    </row>
    <row r="86" ht="12.75">
      <c r="D86" s="18" t="str">
        <f>"(0,8 x "&amp;G74&amp;" x "&amp;F83&amp;"^2)"</f>
        <v>(0,8 x 1000 x 130^2)</v>
      </c>
    </row>
    <row r="87" spans="2:4" ht="12.75">
      <c r="B87" t="s">
        <v>82</v>
      </c>
      <c r="C87" s="18" t="s">
        <v>46</v>
      </c>
      <c r="D87" t="str">
        <f>"0,85  { 1 -sqrt[1 - (2,353 x "&amp;FIXED(F85,4)&amp;")/"&amp;D75&amp;"]}"</f>
        <v>0,85  { 1 -sqrt[1 - (2,353 x 0,2451)/22,5]}</v>
      </c>
    </row>
    <row r="88" spans="5:10" ht="12.75">
      <c r="E88" s="18" t="s">
        <v>46</v>
      </c>
      <c r="F88" s="30">
        <f>0.85*(1-SQRT(1-(2.353*F85)/D75))</f>
        <v>0.01096253470310648</v>
      </c>
      <c r="J88" s="36" t="s">
        <v>259</v>
      </c>
    </row>
    <row r="89" spans="2:10" ht="12.75">
      <c r="B89" t="str">
        <f>"p = "&amp;FIXED(F88,4)&amp;" x "&amp;D75&amp;"/"&amp;D76</f>
        <v>p = 0,0110 x 22,5/320</v>
      </c>
      <c r="E89" s="18" t="s">
        <v>46</v>
      </c>
      <c r="F89" s="30">
        <f>F88*D75/D76</f>
        <v>0.0007708032213121745</v>
      </c>
      <c r="G89" s="18" t="s">
        <v>233</v>
      </c>
      <c r="H89" s="30">
        <f>F78</f>
        <v>0.0043749999999999995</v>
      </c>
      <c r="J89" s="36">
        <f>F91*G74*F83</f>
        <v>568.7499999999999</v>
      </c>
    </row>
    <row r="90" spans="7:10" ht="12.75">
      <c r="G90" s="18" t="s">
        <v>96</v>
      </c>
      <c r="H90" s="30">
        <f>F80</f>
        <v>0.024848208220108695</v>
      </c>
      <c r="J90" s="36">
        <f>H90*G74*F83</f>
        <v>3230.2670686141305</v>
      </c>
    </row>
    <row r="91" spans="4:6" ht="12.75">
      <c r="D91" s="26" t="s">
        <v>75</v>
      </c>
      <c r="E91" s="18" t="s">
        <v>46</v>
      </c>
      <c r="F91" s="33">
        <f>IF(F89&lt;H89,H89,IF(F89&gt;H90,"ganti dimensi",F89))</f>
        <v>0.0043749999999999995</v>
      </c>
    </row>
    <row r="92" spans="2:7" ht="12.75">
      <c r="B92" t="str">
        <f>"As"</f>
        <v>As</v>
      </c>
      <c r="C92" s="18" t="s">
        <v>46</v>
      </c>
      <c r="D92" t="str">
        <f>FIXED(F91,4)&amp;" x "&amp;G74&amp;" x "&amp;F83</f>
        <v>0,0044 x 1000 x 130</v>
      </c>
      <c r="E92" s="18" t="s">
        <v>46</v>
      </c>
      <c r="F92" s="37">
        <f>F91*G74*F83</f>
        <v>568.7499999999999</v>
      </c>
      <c r="G92" t="s">
        <v>76</v>
      </c>
    </row>
    <row r="93" spans="2:7" ht="12.75">
      <c r="B93" t="str">
        <f>"As' "</f>
        <v>As' </v>
      </c>
      <c r="C93" s="18" t="s">
        <v>46</v>
      </c>
      <c r="D93" t="str">
        <f>"0.002 x "&amp;G74&amp;" x "&amp;F83</f>
        <v>0.002 x 1000 x 130</v>
      </c>
      <c r="E93" s="18" t="s">
        <v>46</v>
      </c>
      <c r="F93" s="37">
        <f>0.002*G74*F83</f>
        <v>260</v>
      </c>
      <c r="G93" t="s">
        <v>76</v>
      </c>
    </row>
    <row r="95" spans="4:8" ht="12.75">
      <c r="D95" s="4" t="s">
        <v>260</v>
      </c>
      <c r="E95" s="222"/>
      <c r="F95" s="35">
        <f>F92</f>
        <v>568.7499999999999</v>
      </c>
      <c r="G95" s="36" t="s">
        <v>545</v>
      </c>
      <c r="H95" s="16" t="str">
        <f>IF(MID(G95,3,1)=" ","( "&amp;FIXED(0.25*PI()*(MID(G95,2,1))^2*1000/(MID(G95,6,3)),0)&amp;" mm2 )","( "&amp;FIXED(0.25*PI()*(MID(G95,2,2))^2*1000/(MID(G95,7,3)),0)&amp;" mm2 )")</f>
        <v>( 646 mm2 )</v>
      </c>
    </row>
    <row r="96" spans="4:8" ht="12.75">
      <c r="D96" t="s">
        <v>261</v>
      </c>
      <c r="F96" s="35">
        <f>F93</f>
        <v>260</v>
      </c>
      <c r="G96" s="36" t="s">
        <v>546</v>
      </c>
      <c r="H96" s="16" t="str">
        <f>IF(MID(G96,3,1)=" ","( "&amp;FIXED(0.25*PI()*(MID(G96,2,1))^2*1000/(MID(G96,6,3)),0)&amp;" mm2 )","( "&amp;FIXED(0.25*PI()*(MID(G96,2,2))^2*1000/(MID(G96,7,3)),0)&amp;" mm2 )")</f>
        <v>( 251 mm2 )</v>
      </c>
    </row>
    <row r="98" spans="2:4" ht="12.75">
      <c r="B98" s="17" t="s">
        <v>263</v>
      </c>
      <c r="C98" s="25"/>
      <c r="D98" s="25"/>
    </row>
    <row r="99" spans="2:8" ht="12.75">
      <c r="B99" s="18" t="s">
        <v>74</v>
      </c>
      <c r="D99" s="221">
        <f>F70</f>
        <v>1325.2862330506593</v>
      </c>
      <c r="E99" t="s">
        <v>69</v>
      </c>
      <c r="F99" s="23" t="s">
        <v>50</v>
      </c>
      <c r="G99" s="7">
        <v>1000</v>
      </c>
      <c r="H99" t="s">
        <v>71</v>
      </c>
    </row>
    <row r="100" spans="2:8" ht="12.75">
      <c r="B100" s="18" t="s">
        <v>43</v>
      </c>
      <c r="D100" s="15">
        <f>H9</f>
        <v>22.5</v>
      </c>
      <c r="E100" t="s">
        <v>44</v>
      </c>
      <c r="F100" s="23" t="s">
        <v>51</v>
      </c>
      <c r="G100" s="15">
        <f>E9*1000</f>
        <v>150</v>
      </c>
      <c r="H100" t="s">
        <v>71</v>
      </c>
    </row>
    <row r="101" spans="2:8" ht="12.75">
      <c r="B101" s="18" t="s">
        <v>72</v>
      </c>
      <c r="D101" s="15">
        <f>H10</f>
        <v>320</v>
      </c>
      <c r="E101" t="s">
        <v>44</v>
      </c>
      <c r="F101" s="18" t="s">
        <v>248</v>
      </c>
      <c r="G101" s="15">
        <f>H11</f>
        <v>20</v>
      </c>
      <c r="H101" t="s">
        <v>71</v>
      </c>
    </row>
    <row r="103" spans="2:6" ht="12.75">
      <c r="B103" s="8" t="str">
        <f>"pmin"</f>
        <v>pmin</v>
      </c>
      <c r="C103" s="27" t="s">
        <v>46</v>
      </c>
      <c r="D103" s="8" t="str">
        <f>"1,4 / "&amp;D101</f>
        <v>1,4 / 320</v>
      </c>
      <c r="E103" s="18" t="s">
        <v>46</v>
      </c>
      <c r="F103" s="30">
        <f>1.4/D101</f>
        <v>0.0043749999999999995</v>
      </c>
    </row>
    <row r="104" spans="2:4" ht="12.75">
      <c r="B104" t="str">
        <f>"pmaks"</f>
        <v>pmaks</v>
      </c>
      <c r="C104" s="27" t="s">
        <v>46</v>
      </c>
      <c r="D104" t="str">
        <f>"0,75 x (0,85 x "&amp;D100&amp;")/"&amp;D101&amp;" x 0,85 x [600/(600+"&amp;D101&amp;")]"</f>
        <v>0,75 x (0,85 x 22,5)/320 x 0,85 x [600/(600+320)]</v>
      </c>
    </row>
    <row r="105" spans="5:6" ht="12.75">
      <c r="E105" s="18" t="s">
        <v>46</v>
      </c>
      <c r="F105" s="30">
        <f>0.75*(0.85*D100)/D101*0.85*(600/(600+D101))</f>
        <v>0.024848208220108695</v>
      </c>
    </row>
    <row r="106" spans="5:6" ht="12.75">
      <c r="E106" s="18"/>
      <c r="F106" s="30"/>
    </row>
    <row r="107" spans="2:7" ht="12.75">
      <c r="B107" t="str">
        <f>"Mu"</f>
        <v>Mu</v>
      </c>
      <c r="C107" s="27" t="s">
        <v>46</v>
      </c>
      <c r="D107" t="str">
        <f>FIXED(D99,2)&amp;" kgm"</f>
        <v>1.325,29 kgm</v>
      </c>
      <c r="E107" s="18" t="s">
        <v>46</v>
      </c>
      <c r="F107" s="24">
        <f>D99/100</f>
        <v>13.252862330506593</v>
      </c>
      <c r="G107" t="s">
        <v>73</v>
      </c>
    </row>
    <row r="108" spans="2:7" ht="12.75">
      <c r="B108" t="str">
        <f>"d "</f>
        <v>d </v>
      </c>
      <c r="C108" s="27" t="s">
        <v>46</v>
      </c>
      <c r="D108" t="str">
        <f>G100&amp;" - "&amp;G101</f>
        <v>150 - 20</v>
      </c>
      <c r="E108" s="18" t="s">
        <v>46</v>
      </c>
      <c r="F108">
        <f>G100-G101</f>
        <v>130</v>
      </c>
      <c r="G108" t="s">
        <v>71</v>
      </c>
    </row>
    <row r="109" spans="2:4" ht="12.75">
      <c r="B109" s="31" t="s">
        <v>81</v>
      </c>
      <c r="C109" s="18" t="s">
        <v>46</v>
      </c>
      <c r="D109" s="16">
        <v>0.8</v>
      </c>
    </row>
    <row r="110" spans="2:7" ht="12.75">
      <c r="B110" t="str">
        <f>"Rn"</f>
        <v>Rn</v>
      </c>
      <c r="C110" s="18" t="s">
        <v>46</v>
      </c>
      <c r="D110" s="19" t="str">
        <f>"("&amp;FIXED(F107,2)&amp;" x 10^6)"</f>
        <v>(13,25 x 10^6)</v>
      </c>
      <c r="E110" s="18" t="s">
        <v>46</v>
      </c>
      <c r="F110" s="30">
        <f>(F107*10^6)/(0.8*G99*F108^2)</f>
        <v>0.9802412966351031</v>
      </c>
      <c r="G110" t="s">
        <v>44</v>
      </c>
    </row>
    <row r="111" ht="12.75">
      <c r="D111" s="18" t="str">
        <f>"(0,8 x "&amp;G99&amp;" x "&amp;F108&amp;"^2)"</f>
        <v>(0,8 x 1000 x 130^2)</v>
      </c>
    </row>
    <row r="112" spans="2:4" ht="12.75">
      <c r="B112" t="s">
        <v>82</v>
      </c>
      <c r="C112" s="18" t="s">
        <v>46</v>
      </c>
      <c r="D112" t="str">
        <f>"0,85  { 1 -sqrt[1 - (2,353 x "&amp;FIXED(F110,4)&amp;")/"&amp;D100&amp;"]}"</f>
        <v>0,85  { 1 -sqrt[1 - (2,353 x 0,9802)/22,5]}</v>
      </c>
    </row>
    <row r="113" spans="5:10" ht="12.75">
      <c r="E113" s="18" t="s">
        <v>46</v>
      </c>
      <c r="F113" s="30">
        <f>0.85*(1-SQRT(1-(2.353*F110)/D100))</f>
        <v>0.04474508838049111</v>
      </c>
      <c r="J113" s="36" t="s">
        <v>259</v>
      </c>
    </row>
    <row r="114" spans="2:10" ht="12.75">
      <c r="B114" t="str">
        <f>"p = "&amp;FIXED(F113,4)&amp;" x "&amp;D100&amp;"/"&amp;D101</f>
        <v>p = 0,0447 x 22,5/320</v>
      </c>
      <c r="E114" s="18" t="s">
        <v>46</v>
      </c>
      <c r="F114" s="30">
        <f>F113*D100/D101</f>
        <v>0.0031461390267532815</v>
      </c>
      <c r="G114" s="18" t="s">
        <v>233</v>
      </c>
      <c r="H114" s="30">
        <f>F103</f>
        <v>0.0043749999999999995</v>
      </c>
      <c r="J114" s="36">
        <f>F116*G99*F108</f>
        <v>568.7499999999999</v>
      </c>
    </row>
    <row r="115" spans="7:10" ht="12.75">
      <c r="G115" s="18" t="s">
        <v>96</v>
      </c>
      <c r="H115" s="30">
        <f>F105</f>
        <v>0.024848208220108695</v>
      </c>
      <c r="J115" s="36">
        <f>H115*G99*F108</f>
        <v>3230.2670686141305</v>
      </c>
    </row>
    <row r="116" spans="4:6" ht="12.75">
      <c r="D116" s="26" t="s">
        <v>75</v>
      </c>
      <c r="E116" s="18" t="s">
        <v>46</v>
      </c>
      <c r="F116" s="33">
        <f>IF(F114&lt;H114,H114,IF(F114&gt;H115,"ganti dimensi",F114))</f>
        <v>0.0043749999999999995</v>
      </c>
    </row>
    <row r="117" spans="2:7" ht="12.75">
      <c r="B117" t="str">
        <f>"As"</f>
        <v>As</v>
      </c>
      <c r="C117" s="18" t="s">
        <v>46</v>
      </c>
      <c r="D117" t="str">
        <f>FIXED(F116,4)&amp;" x "&amp;G99&amp;" x "&amp;F108</f>
        <v>0,0044 x 1000 x 130</v>
      </c>
      <c r="E117" s="18" t="s">
        <v>46</v>
      </c>
      <c r="F117" s="37">
        <f>F116*G99*F108</f>
        <v>568.7499999999999</v>
      </c>
      <c r="G117" t="s">
        <v>76</v>
      </c>
    </row>
    <row r="118" spans="2:7" ht="12.75">
      <c r="B118" t="str">
        <f>"As' "</f>
        <v>As' </v>
      </c>
      <c r="C118" s="18" t="s">
        <v>46</v>
      </c>
      <c r="D118" t="str">
        <f>"0.002 x "&amp;G99&amp;" x "&amp;F108</f>
        <v>0.002 x 1000 x 130</v>
      </c>
      <c r="E118" s="18" t="s">
        <v>46</v>
      </c>
      <c r="F118" s="37">
        <f>0.002*G99*F108</f>
        <v>260</v>
      </c>
      <c r="G118" t="s">
        <v>76</v>
      </c>
    </row>
    <row r="120" spans="4:8" ht="12.75">
      <c r="D120" s="4" t="s">
        <v>260</v>
      </c>
      <c r="E120" s="222"/>
      <c r="F120" s="35">
        <f>F117</f>
        <v>568.7499999999999</v>
      </c>
      <c r="G120" s="36" t="s">
        <v>545</v>
      </c>
      <c r="H120" s="16" t="str">
        <f>IF(MID(G120,3,1)=" ","( "&amp;FIXED(0.25*PI()*(MID(G120,2,1))^2*1000/(MID(G120,6,3)),0)&amp;" mm2 )","( "&amp;FIXED(0.25*PI()*(MID(G120,2,2))^2*1000/(MID(G120,7,3)),0)&amp;" mm2 )")</f>
        <v>( 646 mm2 )</v>
      </c>
    </row>
    <row r="121" spans="4:8" ht="12.75">
      <c r="D121" t="s">
        <v>261</v>
      </c>
      <c r="F121" s="35">
        <f>F118</f>
        <v>260</v>
      </c>
      <c r="G121" s="36" t="s">
        <v>546</v>
      </c>
      <c r="H121" s="16" t="str">
        <f>IF(MID(G121,3,1)=" ","( "&amp;FIXED(0.25*PI()*(MID(G121,2,1))^2*1000/(MID(G121,6,3)),0)&amp;" mm2 )","( "&amp;FIXED(0.25*PI()*(MID(G121,2,2))^2*1000/(MID(G121,7,3)),0)&amp;" mm2 )")</f>
        <v>( 251 mm2 )</v>
      </c>
    </row>
    <row r="142" ht="15">
      <c r="B142" s="13" t="s">
        <v>547</v>
      </c>
    </row>
  </sheetData>
  <sheetProtection/>
  <printOptions/>
  <pageMargins left="1.39" right="0.51" top="0.86" bottom="1.01" header="0.72" footer="0.89"/>
  <pageSetup firstPageNumber="20" useFirstPageNumber="1" horizontalDpi="300" verticalDpi="300" orientation="portrait" paperSize="9" scale="80" r:id="rId2"/>
  <headerFooter alignWithMargins="0">
    <oddFooter>&amp;CHAL. &amp;P dari 22&amp;R&amp;"Arial Narrow,Italic"&amp;8VILLA 2 LANTAI Desa Plintahan Kec Pandaan Kab Pasuruan
Hariyanto- TS/&amp;D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B4:K106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421875" style="0" customWidth="1"/>
    <col min="2" max="2" width="7.57421875" style="0" customWidth="1"/>
    <col min="3" max="3" width="2.140625" style="0" customWidth="1"/>
    <col min="4" max="4" width="22.00390625" style="0" customWidth="1"/>
    <col min="6" max="6" width="8.57421875" style="0" customWidth="1"/>
    <col min="7" max="7" width="10.28125" style="0" customWidth="1"/>
    <col min="8" max="8" width="8.57421875" style="0" customWidth="1"/>
    <col min="9" max="9" width="3.00390625" style="0" customWidth="1"/>
    <col min="10" max="10" width="10.57421875" style="0" customWidth="1"/>
  </cols>
  <sheetData>
    <row r="4" spans="2:4" ht="22.5">
      <c r="B4" s="10" t="s">
        <v>302</v>
      </c>
      <c r="C4" s="11"/>
      <c r="D4" s="11"/>
    </row>
    <row r="5" spans="2:7" ht="15.75">
      <c r="B5" s="9"/>
      <c r="C5" s="9"/>
      <c r="D5" s="9"/>
      <c r="G5" s="12"/>
    </row>
    <row r="6" ht="15">
      <c r="B6" s="13" t="s">
        <v>303</v>
      </c>
    </row>
    <row r="8" ht="12.75">
      <c r="B8" s="25" t="s">
        <v>40</v>
      </c>
    </row>
    <row r="9" spans="3:7" ht="12.75">
      <c r="C9" s="6" t="s">
        <v>304</v>
      </c>
      <c r="E9" s="18" t="s">
        <v>46</v>
      </c>
      <c r="F9">
        <f>0.2*0.3*2400</f>
        <v>144</v>
      </c>
      <c r="G9" t="s">
        <v>305</v>
      </c>
    </row>
    <row r="10" spans="3:7" ht="12.75">
      <c r="C10" s="6" t="s">
        <v>306</v>
      </c>
      <c r="E10" s="18" t="s">
        <v>46</v>
      </c>
      <c r="F10" s="3">
        <f>2*250</f>
        <v>500</v>
      </c>
      <c r="G10" t="s">
        <v>305</v>
      </c>
    </row>
    <row r="11" spans="4:7" ht="12.75">
      <c r="D11" s="26" t="s">
        <v>255</v>
      </c>
      <c r="F11">
        <f>SUM(F9:F10)</f>
        <v>644</v>
      </c>
      <c r="G11" t="s">
        <v>305</v>
      </c>
    </row>
    <row r="12" spans="2:11" ht="12.75">
      <c r="B12" s="25" t="s">
        <v>68</v>
      </c>
      <c r="H12" s="26" t="s">
        <v>249</v>
      </c>
      <c r="I12" t="s">
        <v>46</v>
      </c>
      <c r="J12" s="36">
        <v>3.6</v>
      </c>
      <c r="K12" t="s">
        <v>53</v>
      </c>
    </row>
    <row r="13" spans="3:7" ht="12.75">
      <c r="C13" t="str">
        <f>"Mtum = 1/18 x "&amp;F11&amp;" x "&amp;J12&amp;"^2"</f>
        <v>Mtum = 1/18 x 644 x 3,6^2</v>
      </c>
      <c r="E13" s="18" t="s">
        <v>46</v>
      </c>
      <c r="F13" s="4">
        <f>1/8*F11*3.6^2</f>
        <v>1043.28</v>
      </c>
      <c r="G13" t="s">
        <v>69</v>
      </c>
    </row>
    <row r="14" spans="2:7" ht="15.75">
      <c r="B14" s="9"/>
      <c r="C14" s="9"/>
      <c r="D14" s="9"/>
      <c r="G14" s="12"/>
    </row>
    <row r="15" spans="2:4" ht="15">
      <c r="B15" s="13" t="s">
        <v>307</v>
      </c>
      <c r="C15" s="25"/>
      <c r="D15" s="25"/>
    </row>
    <row r="16" spans="2:4" ht="12.75">
      <c r="B16" s="217" t="s">
        <v>308</v>
      </c>
      <c r="C16" s="25"/>
      <c r="D16" s="25"/>
    </row>
    <row r="17" spans="2:7" ht="12.75">
      <c r="B17" s="217"/>
      <c r="C17" s="8" t="s">
        <v>309</v>
      </c>
      <c r="E17" s="4">
        <v>72</v>
      </c>
      <c r="F17" t="s">
        <v>310</v>
      </c>
      <c r="G17" s="5" t="s">
        <v>311</v>
      </c>
    </row>
    <row r="18" spans="2:9" ht="12.75">
      <c r="B18" s="23" t="s">
        <v>74</v>
      </c>
      <c r="C18" s="40" t="s">
        <v>46</v>
      </c>
      <c r="D18" s="36">
        <f>F13</f>
        <v>1043.28</v>
      </c>
      <c r="E18" t="s">
        <v>69</v>
      </c>
      <c r="F18" s="16" t="s">
        <v>43</v>
      </c>
      <c r="H18" s="36">
        <v>22.5</v>
      </c>
      <c r="I18" t="s">
        <v>44</v>
      </c>
    </row>
    <row r="19" spans="2:9" ht="12.75">
      <c r="B19" s="23" t="s">
        <v>312</v>
      </c>
      <c r="C19" s="40" t="s">
        <v>46</v>
      </c>
      <c r="D19" s="36">
        <v>5179</v>
      </c>
      <c r="E19" t="s">
        <v>97</v>
      </c>
      <c r="F19" s="16" t="s">
        <v>72</v>
      </c>
      <c r="H19" s="36">
        <v>320</v>
      </c>
      <c r="I19" t="s">
        <v>44</v>
      </c>
    </row>
    <row r="20" spans="2:9" ht="12.75">
      <c r="B20" s="23" t="s">
        <v>50</v>
      </c>
      <c r="C20" s="40" t="s">
        <v>46</v>
      </c>
      <c r="D20" s="233">
        <v>1</v>
      </c>
      <c r="E20" t="s">
        <v>53</v>
      </c>
      <c r="F20" s="23" t="s">
        <v>248</v>
      </c>
      <c r="G20" s="40"/>
      <c r="H20" s="220">
        <v>30</v>
      </c>
      <c r="I20" t="s">
        <v>71</v>
      </c>
    </row>
    <row r="21" spans="2:9" ht="12.75">
      <c r="B21" s="23" t="s">
        <v>51</v>
      </c>
      <c r="C21" s="40" t="s">
        <v>46</v>
      </c>
      <c r="D21" s="233">
        <v>1</v>
      </c>
      <c r="E21" t="s">
        <v>53</v>
      </c>
      <c r="F21" s="23" t="s">
        <v>313</v>
      </c>
      <c r="G21" s="40"/>
      <c r="H21" s="220">
        <v>120</v>
      </c>
      <c r="I21" t="s">
        <v>71</v>
      </c>
    </row>
    <row r="22" spans="2:9" ht="12.75">
      <c r="B22" s="23" t="s">
        <v>314</v>
      </c>
      <c r="D22" s="36" t="s">
        <v>315</v>
      </c>
      <c r="E22" t="s">
        <v>71</v>
      </c>
      <c r="F22" s="31" t="s">
        <v>322</v>
      </c>
      <c r="H22" s="220">
        <v>3.095</v>
      </c>
      <c r="I22" t="s">
        <v>310</v>
      </c>
    </row>
    <row r="23" spans="2:4" ht="12.75">
      <c r="B23" s="217"/>
      <c r="C23" s="25"/>
      <c r="D23" s="25"/>
    </row>
    <row r="24" spans="2:6" ht="12.75">
      <c r="B24" s="31" t="s">
        <v>323</v>
      </c>
      <c r="C24" s="40" t="s">
        <v>46</v>
      </c>
      <c r="D24" s="19" t="str">
        <f>RIGHT(D22,3)</f>
        <v>400</v>
      </c>
      <c r="E24" s="40" t="s">
        <v>46</v>
      </c>
      <c r="F24" s="16">
        <f>D24/D25</f>
        <v>1</v>
      </c>
    </row>
    <row r="25" ht="12.75">
      <c r="D25" s="18" t="str">
        <f>LEFT(D22,3)</f>
        <v>400</v>
      </c>
    </row>
    <row r="26" spans="2:5" ht="12.75">
      <c r="B26" t="s">
        <v>274</v>
      </c>
      <c r="C26" s="40" t="s">
        <v>46</v>
      </c>
      <c r="D26" s="24">
        <f>D19/100</f>
        <v>51.79</v>
      </c>
      <c r="E26" t="s">
        <v>316</v>
      </c>
    </row>
    <row r="27" spans="2:5" ht="12.75">
      <c r="B27" t="s">
        <v>74</v>
      </c>
      <c r="C27" s="40" t="s">
        <v>46</v>
      </c>
      <c r="D27" s="24">
        <f>D18/100</f>
        <v>10.4328</v>
      </c>
      <c r="E27" t="s">
        <v>73</v>
      </c>
    </row>
    <row r="28" spans="2:7" ht="12.75">
      <c r="B28" s="31" t="s">
        <v>322</v>
      </c>
      <c r="C28" s="40" t="s">
        <v>46</v>
      </c>
      <c r="D28" s="24" t="str">
        <f>H22&amp;" x 100"</f>
        <v>3,095 x 100</v>
      </c>
      <c r="E28" s="40" t="s">
        <v>46</v>
      </c>
      <c r="F28">
        <f>H22*100</f>
        <v>309.5</v>
      </c>
      <c r="G28" t="s">
        <v>317</v>
      </c>
    </row>
    <row r="29" spans="2:7" ht="12.75">
      <c r="B29" t="s">
        <v>93</v>
      </c>
      <c r="C29" s="40" t="s">
        <v>46</v>
      </c>
      <c r="D29" t="str">
        <f>H21&amp;" - "&amp;H20</f>
        <v>120 - 30</v>
      </c>
      <c r="E29" s="40" t="s">
        <v>46</v>
      </c>
      <c r="F29">
        <f>H21-H20</f>
        <v>90</v>
      </c>
      <c r="G29" s="234" t="s">
        <v>71</v>
      </c>
    </row>
    <row r="30" spans="2:7" ht="12.75">
      <c r="B30" t="s">
        <v>318</v>
      </c>
      <c r="C30" s="40" t="s">
        <v>46</v>
      </c>
      <c r="D30" t="str">
        <f>"4 x ("&amp;F29&amp;" + "&amp;LEFT(D22,3)&amp;")"</f>
        <v>4 x (90 + 400)</v>
      </c>
      <c r="E30" s="40" t="s">
        <v>46</v>
      </c>
      <c r="F30">
        <f>4*(F29+LEFT(D22,3))</f>
        <v>1960</v>
      </c>
      <c r="G30" s="234" t="s">
        <v>71</v>
      </c>
    </row>
    <row r="32" spans="2:4" ht="12.75">
      <c r="B32" s="31" t="s">
        <v>324</v>
      </c>
      <c r="C32" s="40" t="s">
        <v>46</v>
      </c>
      <c r="D32" t="str">
        <f>"0.6 x 1/3 x sqrt("&amp;H18&amp;") x "&amp;F30&amp;" x "&amp;F29</f>
        <v>0.6 x 1/3 x sqrt(22,5) x 1960 x 90</v>
      </c>
    </row>
    <row r="33" spans="3:5" ht="12.75">
      <c r="C33" s="40" t="s">
        <v>46</v>
      </c>
      <c r="D33">
        <f>0.36*1/3*SQRT(H18)*F30*F29</f>
        <v>100408.64026566637</v>
      </c>
      <c r="E33" t="s">
        <v>275</v>
      </c>
    </row>
    <row r="35" spans="2:4" ht="12.75">
      <c r="B35" s="31" t="s">
        <v>325</v>
      </c>
      <c r="C35" s="40" t="s">
        <v>46</v>
      </c>
      <c r="D35" t="str">
        <f>"0.6 x (1 + 1/"&amp;F24&amp;") x 1/6 x sqrt("&amp;H18&amp;") x "&amp;F30&amp;" x "&amp;F29</f>
        <v>0.6 x (1 + 1/1) x 1/6 x sqrt(22,5) x 1960 x 90</v>
      </c>
    </row>
    <row r="36" spans="3:9" ht="12.75">
      <c r="C36" s="40" t="s">
        <v>46</v>
      </c>
      <c r="D36">
        <f>0.6*(1+1/F24)*1/6*SQRT(H18)*F30*F29</f>
        <v>167347.73377611063</v>
      </c>
      <c r="E36" t="s">
        <v>275</v>
      </c>
      <c r="F36" t="str">
        <f>IF(D36&gt;G36,"&gt;","&lt;")</f>
        <v>&gt;</v>
      </c>
      <c r="G36">
        <f>D33</f>
        <v>100408.64026566637</v>
      </c>
      <c r="H36" t="s">
        <v>275</v>
      </c>
      <c r="I36" s="4" t="str">
        <f>IF(D36&gt;G36,"OK","kurang")</f>
        <v>OK</v>
      </c>
    </row>
    <row r="38" spans="2:7" ht="12.75">
      <c r="B38" s="31" t="s">
        <v>326</v>
      </c>
      <c r="C38" s="40" t="s">
        <v>46</v>
      </c>
      <c r="D38" s="32">
        <f>D26</f>
        <v>51.79</v>
      </c>
      <c r="E38" s="18" t="s">
        <v>117</v>
      </c>
      <c r="F38" s="235">
        <f>D27</f>
        <v>10.4328</v>
      </c>
      <c r="G38" s="3"/>
    </row>
    <row r="39" spans="4:6" ht="12.75">
      <c r="D39" s="18" t="str">
        <f>D20&amp;" x "&amp;D21</f>
        <v>1 x 1</v>
      </c>
      <c r="F39" t="str">
        <f>"1/6 x "&amp;D20&amp;" x "&amp;D21&amp;"^2"</f>
        <v>1/6 x 1 x 1^2</v>
      </c>
    </row>
    <row r="40" spans="3:6" ht="12.75">
      <c r="C40" s="40" t="s">
        <v>46</v>
      </c>
      <c r="D40" s="35">
        <f>D26/(D21*D20)</f>
        <v>51.79</v>
      </c>
      <c r="E40" s="18" t="s">
        <v>117</v>
      </c>
      <c r="F40" s="24">
        <f>D27/(1/6*D20*D21^2)</f>
        <v>62.5968</v>
      </c>
    </row>
    <row r="41" spans="3:9" ht="12.75">
      <c r="C41" s="40" t="s">
        <v>46</v>
      </c>
      <c r="D41" s="24">
        <f>D40+F40</f>
        <v>114.3868</v>
      </c>
      <c r="E41" t="s">
        <v>319</v>
      </c>
      <c r="F41" s="18" t="str">
        <f>IF(D41&lt;G41,"&lt;","&gt;")</f>
        <v>&lt;</v>
      </c>
      <c r="G41">
        <f>F28</f>
        <v>309.5</v>
      </c>
      <c r="H41" t="s">
        <v>319</v>
      </c>
      <c r="I41" s="4" t="str">
        <f>IF(D41&lt;G41,"OK","geser")</f>
        <v>OK</v>
      </c>
    </row>
    <row r="43" spans="2:4" ht="15">
      <c r="B43" s="13" t="s">
        <v>68</v>
      </c>
      <c r="C43" s="25"/>
      <c r="D43" s="25"/>
    </row>
    <row r="44" spans="2:4" ht="15">
      <c r="B44" s="236"/>
      <c r="C44" s="25"/>
      <c r="D44" s="25"/>
    </row>
    <row r="45" spans="2:9" ht="12.75">
      <c r="B45" s="23" t="s">
        <v>74</v>
      </c>
      <c r="C45" s="40" t="s">
        <v>46</v>
      </c>
      <c r="D45" s="36">
        <f>D18</f>
        <v>1043.28</v>
      </c>
      <c r="E45" t="s">
        <v>69</v>
      </c>
      <c r="F45" s="16" t="s">
        <v>43</v>
      </c>
      <c r="H45" s="36">
        <f>H18</f>
        <v>22.5</v>
      </c>
      <c r="I45" t="s">
        <v>44</v>
      </c>
    </row>
    <row r="46" spans="2:9" ht="12.75">
      <c r="B46" s="23" t="s">
        <v>312</v>
      </c>
      <c r="C46" s="40" t="s">
        <v>46</v>
      </c>
      <c r="D46" s="36">
        <f>D19</f>
        <v>5179</v>
      </c>
      <c r="E46" t="s">
        <v>97</v>
      </c>
      <c r="F46" s="16" t="s">
        <v>72</v>
      </c>
      <c r="H46" s="36">
        <f>H19</f>
        <v>320</v>
      </c>
      <c r="I46" t="s">
        <v>44</v>
      </c>
    </row>
    <row r="47" spans="2:9" ht="12.75">
      <c r="B47" s="23" t="s">
        <v>50</v>
      </c>
      <c r="C47" s="40" t="s">
        <v>46</v>
      </c>
      <c r="D47" s="36">
        <f>D20</f>
        <v>1</v>
      </c>
      <c r="E47" t="s">
        <v>53</v>
      </c>
      <c r="F47" s="23" t="s">
        <v>248</v>
      </c>
      <c r="G47" s="40"/>
      <c r="H47" s="36">
        <f>H20</f>
        <v>30</v>
      </c>
      <c r="I47" t="s">
        <v>71</v>
      </c>
    </row>
    <row r="48" spans="2:9" ht="12.75">
      <c r="B48" s="23" t="s">
        <v>51</v>
      </c>
      <c r="C48" s="40" t="s">
        <v>46</v>
      </c>
      <c r="D48" s="36">
        <f>D21</f>
        <v>1</v>
      </c>
      <c r="E48" t="s">
        <v>53</v>
      </c>
      <c r="F48" s="23" t="s">
        <v>313</v>
      </c>
      <c r="G48" s="40"/>
      <c r="H48" s="36">
        <f>H21</f>
        <v>120</v>
      </c>
      <c r="I48" t="s">
        <v>71</v>
      </c>
    </row>
    <row r="49" spans="2:9" ht="12.75">
      <c r="B49" s="23" t="s">
        <v>314</v>
      </c>
      <c r="D49" s="36" t="str">
        <f>D22</f>
        <v>400 / 400</v>
      </c>
      <c r="E49" t="s">
        <v>71</v>
      </c>
      <c r="F49" s="31" t="s">
        <v>322</v>
      </c>
      <c r="H49" s="36">
        <f>H22</f>
        <v>3.095</v>
      </c>
      <c r="I49" t="s">
        <v>310</v>
      </c>
    </row>
    <row r="50" spans="2:4" ht="12.75">
      <c r="B50" s="217"/>
      <c r="C50" s="25"/>
      <c r="D50" s="25"/>
    </row>
    <row r="51" spans="2:6" ht="12.75">
      <c r="B51" s="31" t="s">
        <v>323</v>
      </c>
      <c r="C51" s="40" t="s">
        <v>46</v>
      </c>
      <c r="D51" s="19" t="str">
        <f>RIGHT(D49,3)</f>
        <v>400</v>
      </c>
      <c r="E51" s="40" t="s">
        <v>46</v>
      </c>
      <c r="F51" s="16">
        <f>D51/D52</f>
        <v>1</v>
      </c>
    </row>
    <row r="52" ht="12.75">
      <c r="D52" s="18" t="str">
        <f>LEFT(D49,3)</f>
        <v>400</v>
      </c>
    </row>
    <row r="53" spans="2:5" ht="12.75">
      <c r="B53" t="s">
        <v>274</v>
      </c>
      <c r="C53" s="40" t="s">
        <v>46</v>
      </c>
      <c r="D53" s="24">
        <f>D46/100</f>
        <v>51.79</v>
      </c>
      <c r="E53" t="s">
        <v>316</v>
      </c>
    </row>
    <row r="54" spans="2:5" ht="12.75">
      <c r="B54" t="s">
        <v>74</v>
      </c>
      <c r="C54" s="40" t="s">
        <v>46</v>
      </c>
      <c r="D54" s="24">
        <f>D45/100</f>
        <v>10.4328</v>
      </c>
      <c r="E54" t="s">
        <v>73</v>
      </c>
    </row>
    <row r="55" spans="2:7" ht="12.75">
      <c r="B55" s="31" t="s">
        <v>322</v>
      </c>
      <c r="C55" s="40" t="s">
        <v>46</v>
      </c>
      <c r="D55" s="24" t="str">
        <f>H49&amp;" x 100"</f>
        <v>3,095 x 100</v>
      </c>
      <c r="E55" s="40" t="s">
        <v>46</v>
      </c>
      <c r="F55">
        <f>H49*100</f>
        <v>309.5</v>
      </c>
      <c r="G55" t="s">
        <v>317</v>
      </c>
    </row>
    <row r="56" spans="2:7" ht="12.75">
      <c r="B56" t="s">
        <v>93</v>
      </c>
      <c r="C56" s="40" t="s">
        <v>46</v>
      </c>
      <c r="D56" t="str">
        <f>H48&amp;" - "&amp;H47</f>
        <v>120 - 30</v>
      </c>
      <c r="E56" s="40" t="s">
        <v>46</v>
      </c>
      <c r="F56">
        <f>H48-H47</f>
        <v>90</v>
      </c>
      <c r="G56" s="234" t="s">
        <v>71</v>
      </c>
    </row>
    <row r="57" spans="2:7" ht="12.75">
      <c r="B57" t="s">
        <v>318</v>
      </c>
      <c r="C57" s="40" t="s">
        <v>46</v>
      </c>
      <c r="D57" t="str">
        <f>"4 x ("&amp;F56&amp;" + "&amp;LEFT(D49,3)&amp;")"</f>
        <v>4 x (90 + 400)</v>
      </c>
      <c r="E57" s="40" t="s">
        <v>46</v>
      </c>
      <c r="F57">
        <f>4*(F56+LEFT(D49,3))</f>
        <v>1960</v>
      </c>
      <c r="G57" s="234" t="s">
        <v>71</v>
      </c>
    </row>
    <row r="59" spans="2:4" ht="12.75">
      <c r="B59" s="31" t="s">
        <v>324</v>
      </c>
      <c r="C59" s="40" t="s">
        <v>46</v>
      </c>
      <c r="D59" t="str">
        <f>"0.6 x 1/3 x sqrt("&amp;H45&amp;") x "&amp;F57&amp;" x "&amp;F56</f>
        <v>0.6 x 1/3 x sqrt(22,5) x 1960 x 90</v>
      </c>
    </row>
    <row r="60" spans="3:5" ht="12.75">
      <c r="C60" s="40" t="s">
        <v>46</v>
      </c>
      <c r="D60">
        <f>0.36*1/3*SQRT(H45)*F57*F56</f>
        <v>100408.64026566637</v>
      </c>
      <c r="E60" t="s">
        <v>275</v>
      </c>
    </row>
    <row r="62" spans="2:4" ht="12.75">
      <c r="B62" s="31" t="s">
        <v>325</v>
      </c>
      <c r="C62" s="40" t="s">
        <v>46</v>
      </c>
      <c r="D62" t="str">
        <f>"0.6 x (1 + 1/"&amp;F51&amp;") x 1/6 x sqrt("&amp;H45&amp;") x "&amp;F57&amp;" x "&amp;F56</f>
        <v>0.6 x (1 + 1/1) x 1/6 x sqrt(22,5) x 1960 x 90</v>
      </c>
    </row>
    <row r="63" spans="3:9" ht="12.75">
      <c r="C63" s="40" t="s">
        <v>46</v>
      </c>
      <c r="D63">
        <f>0.6*(1+1/F51)*1/6*SQRT(H45)*F57*F56</f>
        <v>167347.73377611063</v>
      </c>
      <c r="E63" t="s">
        <v>275</v>
      </c>
      <c r="F63" t="str">
        <f>IF(D63&gt;G63,"&gt;","&lt;")</f>
        <v>&gt;</v>
      </c>
      <c r="G63">
        <f>D60</f>
        <v>100408.64026566637</v>
      </c>
      <c r="H63" t="s">
        <v>275</v>
      </c>
      <c r="I63" s="4" t="str">
        <f>IF(D63&gt;G63,"OK","kurang")</f>
        <v>OK</v>
      </c>
    </row>
    <row r="65" spans="2:7" ht="12.75">
      <c r="B65" s="31" t="s">
        <v>326</v>
      </c>
      <c r="C65" s="40" t="s">
        <v>46</v>
      </c>
      <c r="D65" s="32">
        <f>D53</f>
        <v>51.79</v>
      </c>
      <c r="E65" s="18" t="s">
        <v>117</v>
      </c>
      <c r="F65" s="235">
        <f>D54</f>
        <v>10.4328</v>
      </c>
      <c r="G65" s="3"/>
    </row>
    <row r="66" spans="4:6" ht="12.75">
      <c r="D66" s="18" t="str">
        <f>D47&amp;" x "&amp;D48</f>
        <v>1 x 1</v>
      </c>
      <c r="F66" t="str">
        <f>"1/6 x "&amp;D47&amp;" x "&amp;D48&amp;"^2"</f>
        <v>1/6 x 1 x 1^2</v>
      </c>
    </row>
    <row r="67" spans="3:6" ht="12.75">
      <c r="C67" s="40" t="s">
        <v>46</v>
      </c>
      <c r="D67" s="35">
        <f>D53/(D48*D47)</f>
        <v>51.79</v>
      </c>
      <c r="E67" s="18" t="s">
        <v>117</v>
      </c>
      <c r="F67" s="24">
        <f>D54/(1/6*D47*D48^2)</f>
        <v>62.5968</v>
      </c>
    </row>
    <row r="68" spans="3:9" ht="12.75">
      <c r="C68" s="40" t="s">
        <v>46</v>
      </c>
      <c r="D68" s="24">
        <f>D67+F67</f>
        <v>114.3868</v>
      </c>
      <c r="E68" t="s">
        <v>319</v>
      </c>
      <c r="F68" s="18" t="str">
        <f>IF(D68&lt;G68,"&lt;","&gt;")</f>
        <v>&lt;</v>
      </c>
      <c r="G68">
        <f>F55</f>
        <v>309.5</v>
      </c>
      <c r="H68" t="s">
        <v>319</v>
      </c>
      <c r="I68" s="4" t="str">
        <f>IF(D68&lt;G68,"OK","geser")</f>
        <v>OK</v>
      </c>
    </row>
    <row r="70" spans="2:4" ht="12.75">
      <c r="B70" s="31" t="s">
        <v>327</v>
      </c>
      <c r="C70" s="40" t="s">
        <v>46</v>
      </c>
      <c r="D70" t="str">
        <f>FIXED(D67,2)&amp;" - "&amp;FIXED(F67,2)</f>
        <v>51,79 - 62,60</v>
      </c>
    </row>
    <row r="71" spans="3:5" ht="12.75">
      <c r="C71" s="40" t="s">
        <v>46</v>
      </c>
      <c r="D71" s="24">
        <f>D67-F67</f>
        <v>-10.806800000000003</v>
      </c>
      <c r="E71" t="s">
        <v>319</v>
      </c>
    </row>
    <row r="72" spans="2:5" ht="12.75">
      <c r="B72" t="str">
        <f>"Diambil q = "</f>
        <v>Diambil q = </v>
      </c>
      <c r="D72" s="24">
        <f>MAX(D68,D71)</f>
        <v>114.3868</v>
      </c>
      <c r="E72" t="s">
        <v>319</v>
      </c>
    </row>
    <row r="74" spans="2:4" ht="12.75">
      <c r="B74" t="s">
        <v>74</v>
      </c>
      <c r="C74" s="40" t="s">
        <v>46</v>
      </c>
      <c r="D74" t="str">
        <f>"1/2 x "&amp;FIXED(D72,2)&amp;" x "&amp;"(0.5x"&amp;D47&amp;")^2"</f>
        <v>1/2 x 114,39 x (0.5x1)^2</v>
      </c>
    </row>
    <row r="75" spans="3:5" ht="12.75">
      <c r="C75" s="40" t="s">
        <v>46</v>
      </c>
      <c r="D75" s="24">
        <f>1/2*D72*(0.5*D47)^2</f>
        <v>14.29835</v>
      </c>
      <c r="E75" t="s">
        <v>73</v>
      </c>
    </row>
    <row r="77" ht="15">
      <c r="B77" s="13" t="s">
        <v>70</v>
      </c>
    </row>
    <row r="79" spans="2:4" ht="12.75">
      <c r="B79" s="17" t="s">
        <v>320</v>
      </c>
      <c r="C79" s="25"/>
      <c r="D79" s="25"/>
    </row>
    <row r="80" spans="2:8" ht="12.75">
      <c r="B80" s="18" t="s">
        <v>74</v>
      </c>
      <c r="D80" s="221">
        <f>D75*100</f>
        <v>1429.835</v>
      </c>
      <c r="E80" t="s">
        <v>69</v>
      </c>
      <c r="F80" s="23" t="s">
        <v>50</v>
      </c>
      <c r="G80" s="15">
        <f>1000</f>
        <v>1000</v>
      </c>
      <c r="H80" t="s">
        <v>71</v>
      </c>
    </row>
    <row r="81" spans="2:8" ht="12.75">
      <c r="B81" s="18" t="s">
        <v>43</v>
      </c>
      <c r="D81" s="15">
        <f>H45</f>
        <v>22.5</v>
      </c>
      <c r="E81" t="s">
        <v>44</v>
      </c>
      <c r="F81" s="23" t="s">
        <v>51</v>
      </c>
      <c r="G81" s="15">
        <f>H48</f>
        <v>120</v>
      </c>
      <c r="H81" t="s">
        <v>71</v>
      </c>
    </row>
    <row r="82" spans="2:8" ht="12.75">
      <c r="B82" s="18" t="s">
        <v>72</v>
      </c>
      <c r="D82" s="15">
        <f>H46</f>
        <v>320</v>
      </c>
      <c r="E82" t="s">
        <v>44</v>
      </c>
      <c r="F82" s="18" t="s">
        <v>248</v>
      </c>
      <c r="G82" s="15">
        <f>H47</f>
        <v>30</v>
      </c>
      <c r="H82" t="s">
        <v>71</v>
      </c>
    </row>
    <row r="84" spans="2:6" ht="12.75">
      <c r="B84" s="8" t="str">
        <f>"pmin"</f>
        <v>pmin</v>
      </c>
      <c r="C84" s="27" t="s">
        <v>46</v>
      </c>
      <c r="D84" s="8" t="str">
        <f>"1,4 / "&amp;D82</f>
        <v>1,4 / 320</v>
      </c>
      <c r="E84" s="18" t="s">
        <v>46</v>
      </c>
      <c r="F84" s="30">
        <f>1.4/D82</f>
        <v>0.0043749999999999995</v>
      </c>
    </row>
    <row r="85" spans="2:4" ht="12.75">
      <c r="B85" t="str">
        <f>"pmaks"</f>
        <v>pmaks</v>
      </c>
      <c r="C85" s="27" t="s">
        <v>46</v>
      </c>
      <c r="D85" t="str">
        <f>"0,75 x (0,85 x "&amp;D81&amp;")/"&amp;D82&amp;" x 0,85 x [600/(600+"&amp;D82&amp;")]"</f>
        <v>0,75 x (0,85 x 22,5)/320 x 0,85 x [600/(600+320)]</v>
      </c>
    </row>
    <row r="86" spans="5:6" ht="12.75">
      <c r="E86" s="18" t="s">
        <v>46</v>
      </c>
      <c r="F86" s="30">
        <f>0.75*(0.85*D81)/D82*0.85*(600/(600+D82))</f>
        <v>0.024848208220108695</v>
      </c>
    </row>
    <row r="87" spans="5:6" ht="12.75">
      <c r="E87" s="18"/>
      <c r="F87" s="30"/>
    </row>
    <row r="88" spans="2:7" ht="12.75">
      <c r="B88" t="str">
        <f>"Mu"</f>
        <v>Mu</v>
      </c>
      <c r="C88" s="27" t="s">
        <v>46</v>
      </c>
      <c r="D88" t="str">
        <f>FIXED(D80,2)&amp;" kgm"</f>
        <v>1.429,84 kgm</v>
      </c>
      <c r="E88" s="18" t="s">
        <v>46</v>
      </c>
      <c r="F88" s="24">
        <f>D80/100</f>
        <v>14.298350000000001</v>
      </c>
      <c r="G88" t="s">
        <v>73</v>
      </c>
    </row>
    <row r="89" spans="2:7" ht="12.75">
      <c r="B89" t="str">
        <f>"d "</f>
        <v>d </v>
      </c>
      <c r="C89" s="27" t="s">
        <v>46</v>
      </c>
      <c r="D89" t="str">
        <f>G81&amp;" - "&amp;G82</f>
        <v>120 - 30</v>
      </c>
      <c r="E89" s="18" t="s">
        <v>46</v>
      </c>
      <c r="F89">
        <f>G81-G82</f>
        <v>90</v>
      </c>
      <c r="G89" t="s">
        <v>71</v>
      </c>
    </row>
    <row r="90" spans="2:4" ht="12.75">
      <c r="B90" s="31" t="s">
        <v>81</v>
      </c>
      <c r="C90" s="18" t="s">
        <v>46</v>
      </c>
      <c r="D90" s="16">
        <v>0.8</v>
      </c>
    </row>
    <row r="91" spans="2:7" ht="12.75">
      <c r="B91" t="str">
        <f>"Rn"</f>
        <v>Rn</v>
      </c>
      <c r="C91" s="18" t="s">
        <v>46</v>
      </c>
      <c r="D91" s="19" t="str">
        <f>"("&amp;FIXED(F88,2)&amp;" x 10^6)"</f>
        <v>(14,30 x 10^6)</v>
      </c>
      <c r="E91" s="18" t="s">
        <v>46</v>
      </c>
      <c r="F91" s="30">
        <f>(F88*10^6)/(0.8*G80*F89^2)</f>
        <v>2.2065354938271606</v>
      </c>
      <c r="G91" t="s">
        <v>44</v>
      </c>
    </row>
    <row r="92" ht="12.75">
      <c r="D92" s="18" t="str">
        <f>"(0,8 x "&amp;G80&amp;" x "&amp;F89&amp;"^2)"</f>
        <v>(0,8 x 1000 x 90^2)</v>
      </c>
    </row>
    <row r="93" spans="2:4" ht="12.75">
      <c r="B93" t="s">
        <v>82</v>
      </c>
      <c r="C93" s="18" t="s">
        <v>46</v>
      </c>
      <c r="D93" t="str">
        <f>"0,85  { 1 -sqrt[1 - (2,353 x "&amp;FIXED(F91,4)&amp;")/"&amp;D81&amp;"]}"</f>
        <v>0,85  { 1 -sqrt[1 - (2,353 x 2,2065)/22,5]}</v>
      </c>
    </row>
    <row r="94" spans="5:6" ht="12.75">
      <c r="E94" s="18" t="s">
        <v>46</v>
      </c>
      <c r="F94" s="30">
        <f>0.85*(1-SQRT(1-(2.353*F91)/D81))</f>
        <v>0.10449358352160408</v>
      </c>
    </row>
    <row r="95" spans="2:8" ht="12.75">
      <c r="B95" t="str">
        <f>"p = "&amp;FIXED(F94,4)&amp;" x "&amp;D81&amp;"/"&amp;D82</f>
        <v>p = 0,1045 x 22,5/320</v>
      </c>
      <c r="E95" s="18" t="s">
        <v>46</v>
      </c>
      <c r="F95" s="30">
        <f>F94*D81/D82</f>
        <v>0.007347205091362786</v>
      </c>
      <c r="G95" s="18" t="s">
        <v>233</v>
      </c>
      <c r="H95" s="30">
        <f>F84</f>
        <v>0.0043749999999999995</v>
      </c>
    </row>
    <row r="96" spans="7:8" ht="12.75">
      <c r="G96" s="18" t="s">
        <v>96</v>
      </c>
      <c r="H96" s="30">
        <f>F86</f>
        <v>0.024848208220108695</v>
      </c>
    </row>
    <row r="97" spans="4:6" ht="12.75">
      <c r="D97" s="26" t="s">
        <v>75</v>
      </c>
      <c r="E97" s="18" t="s">
        <v>46</v>
      </c>
      <c r="F97" s="33">
        <f>IF(F95&lt;H95,H95,IF(F95&gt;H96,"ganti dimensi",F95))</f>
        <v>0.007347205091362786</v>
      </c>
    </row>
    <row r="98" spans="2:7" ht="12.75">
      <c r="B98" t="str">
        <f>"As"</f>
        <v>As</v>
      </c>
      <c r="C98" s="18" t="s">
        <v>46</v>
      </c>
      <c r="D98" t="str">
        <f>FIXED(F97,4)&amp;" x "&amp;G80&amp;" x "&amp;F89</f>
        <v>0,0073 x 1000 x 90</v>
      </c>
      <c r="E98" s="18" t="s">
        <v>46</v>
      </c>
      <c r="F98" s="37">
        <f>F97*G80*F89</f>
        <v>661.2484582226508</v>
      </c>
      <c r="G98" t="s">
        <v>76</v>
      </c>
    </row>
    <row r="99" spans="2:7" ht="12.75">
      <c r="B99" t="str">
        <f>"As' "</f>
        <v>As' </v>
      </c>
      <c r="C99" s="18" t="s">
        <v>46</v>
      </c>
      <c r="D99" t="str">
        <f>"0,4 x "&amp;FIXED(F98,2)</f>
        <v>0,4 x 661,25</v>
      </c>
      <c r="E99" s="18" t="s">
        <v>46</v>
      </c>
      <c r="F99" s="37">
        <f>0.4*F98</f>
        <v>264.49938328906035</v>
      </c>
      <c r="G99" t="s">
        <v>76</v>
      </c>
    </row>
    <row r="101" ht="12.75">
      <c r="B101" s="14" t="s">
        <v>70</v>
      </c>
    </row>
    <row r="102" spans="5:6" ht="12.75">
      <c r="E102" s="34" t="s">
        <v>76</v>
      </c>
      <c r="F102" s="34" t="s">
        <v>71</v>
      </c>
    </row>
    <row r="103" spans="2:7" ht="12.75">
      <c r="B103" s="4" t="s">
        <v>77</v>
      </c>
      <c r="E103" s="35">
        <f>F98</f>
        <v>661.2484582226508</v>
      </c>
      <c r="F103" s="36" t="s">
        <v>321</v>
      </c>
      <c r="G103" s="26" t="str">
        <f>IF(MID(F103,3,1)=" ","( "&amp;FIXED(0.25*PI()*(MID(F103,2,1))^2*1000/(MID(F103,6,3)),0)&amp;" mm2 )","( "&amp;FIXED(0.25*PI()*(MID(F103,2,2))^2*1000/(MID(F103,7,3)),0)&amp;" mm2 )")</f>
        <v>( 785 mm2 )</v>
      </c>
    </row>
    <row r="104" spans="2:7" ht="12.75">
      <c r="B104" s="4" t="s">
        <v>78</v>
      </c>
      <c r="E104" s="35">
        <f>F98</f>
        <v>661.2484582226508</v>
      </c>
      <c r="F104" s="36" t="s">
        <v>321</v>
      </c>
      <c r="G104" s="26" t="str">
        <f>IF(MID(F104,3,1)=" ","( "&amp;FIXED(0.25*PI()*(MID(F104,2,1))^2*1000/(MID(F104,6,3)),0)&amp;" mm2 )","( "&amp;FIXED(0.25*PI()*(MID(F104,2,2))^2*1000/(MID(F104,7,3)),0)&amp;" mm2 )")</f>
        <v>( 785 mm2 )</v>
      </c>
    </row>
    <row r="105" spans="2:7" ht="12.75">
      <c r="B105" t="s">
        <v>79</v>
      </c>
      <c r="E105" s="35">
        <f>F99</f>
        <v>264.49938328906035</v>
      </c>
      <c r="F105" s="36" t="s">
        <v>262</v>
      </c>
      <c r="G105" s="26" t="str">
        <f>IF(MID(F105,3,1)=" ","( "&amp;FIXED(0.25*PI()*(MID(F105,2,1))^2*1000/(MID(F105,6,3)),0)&amp;" mm2 )","( "&amp;FIXED(0.25*PI()*(MID(F105,2,2))^2*1000/(MID(F105,7,3)),0)&amp;" mm2 )")</f>
        <v>( 335 mm2 )</v>
      </c>
    </row>
    <row r="106" spans="5:7" ht="12.75">
      <c r="E106" s="18"/>
      <c r="F106" s="40"/>
      <c r="G106" s="26"/>
    </row>
  </sheetData>
  <sheetProtection/>
  <printOptions/>
  <pageMargins left="1.39" right="0.51" top="1.66" bottom="1.01" header="0.79" footer="0.89"/>
  <pageSetup horizontalDpi="300" verticalDpi="300" orientation="portrait" paperSize="9" scale="80" r:id="rId2"/>
  <headerFooter alignWithMargins="0">
    <oddFooter>&amp;C&amp;9C3.&amp;P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3:V81"/>
  <sheetViews>
    <sheetView showGridLines="0" zoomScale="90" zoomScaleNormal="90" zoomScalePageLayoutView="0" workbookViewId="0" topLeftCell="A1">
      <selection activeCell="M5" sqref="M5"/>
    </sheetView>
  </sheetViews>
  <sheetFormatPr defaultColWidth="9.140625" defaultRowHeight="12.75"/>
  <cols>
    <col min="1" max="1" width="5.57421875" style="238" customWidth="1"/>
    <col min="2" max="2" width="1.7109375" style="238" customWidth="1"/>
    <col min="3" max="28" width="3.28125" style="238" customWidth="1"/>
    <col min="29" max="29" width="5.57421875" style="238" customWidth="1"/>
    <col min="30" max="32" width="9.140625" style="238" customWidth="1"/>
    <col min="33" max="33" width="10.57421875" style="238" customWidth="1"/>
    <col min="34" max="34" width="9.140625" style="238" customWidth="1"/>
    <col min="35" max="35" width="13.28125" style="238" customWidth="1"/>
    <col min="36" max="36" width="12.421875" style="238" customWidth="1"/>
    <col min="37" max="37" width="13.421875" style="238" customWidth="1"/>
    <col min="38" max="38" width="15.421875" style="238" customWidth="1"/>
    <col min="39" max="16384" width="9.140625" style="238" customWidth="1"/>
  </cols>
  <sheetData>
    <row r="1" ht="12.75"/>
    <row r="2" ht="12.75"/>
    <row r="3" ht="12.75">
      <c r="A3" s="237"/>
    </row>
    <row r="4" spans="1:7" ht="20.25">
      <c r="A4" s="239"/>
      <c r="B4" s="239"/>
      <c r="C4" s="240" t="s">
        <v>328</v>
      </c>
      <c r="D4" s="241"/>
      <c r="E4" s="241"/>
      <c r="F4" s="241"/>
      <c r="G4" s="241"/>
    </row>
    <row r="5" spans="1:3" ht="12.75">
      <c r="A5" s="242"/>
      <c r="B5" s="242"/>
      <c r="C5" s="243"/>
    </row>
    <row r="6" spans="1:3" ht="12.75">
      <c r="A6" s="244"/>
      <c r="B6" s="244"/>
      <c r="C6" s="243" t="str">
        <f>"PONDASI TIANG Dia."&amp;J8&amp;" - "&amp;J9*0.01&amp;"m' :"</f>
        <v>PONDASI TIANG Dia.30 - 6m' :</v>
      </c>
    </row>
    <row r="7" spans="1:5" ht="14.25" customHeight="1">
      <c r="A7" s="244"/>
      <c r="B7" s="244"/>
      <c r="C7" s="245"/>
      <c r="D7" s="246"/>
      <c r="E7" s="238" t="s">
        <v>329</v>
      </c>
    </row>
    <row r="8" spans="1:12" ht="14.25" customHeight="1">
      <c r="A8" s="244"/>
      <c r="B8" s="244"/>
      <c r="C8" s="245"/>
      <c r="D8" s="246"/>
      <c r="F8" s="246" t="s">
        <v>330</v>
      </c>
      <c r="J8" s="381">
        <v>30</v>
      </c>
      <c r="K8" s="381"/>
      <c r="L8" s="238" t="s">
        <v>42</v>
      </c>
    </row>
    <row r="9" spans="1:12" ht="14.25" customHeight="1">
      <c r="A9" s="244"/>
      <c r="B9" s="244"/>
      <c r="C9" s="245"/>
      <c r="D9" s="246"/>
      <c r="F9" s="246" t="s">
        <v>331</v>
      </c>
      <c r="I9" s="61"/>
      <c r="J9" s="381">
        <v>600</v>
      </c>
      <c r="K9" s="381"/>
      <c r="L9" s="238" t="s">
        <v>42</v>
      </c>
    </row>
    <row r="10" spans="1:10" ht="8.25" customHeight="1">
      <c r="A10" s="244"/>
      <c r="B10" s="244"/>
      <c r="C10" s="245"/>
      <c r="D10" s="246"/>
      <c r="I10" s="61"/>
      <c r="J10" s="61"/>
    </row>
    <row r="11" spans="1:18" ht="12.75">
      <c r="A11" s="244"/>
      <c r="B11" s="244"/>
      <c r="C11" s="245"/>
      <c r="D11" s="246"/>
      <c r="E11" s="246" t="s">
        <v>332</v>
      </c>
      <c r="G11" s="246"/>
      <c r="N11" s="246" t="s">
        <v>46</v>
      </c>
      <c r="O11" s="387">
        <f>0.25*PI()*J8*J8</f>
        <v>706.8583470577034</v>
      </c>
      <c r="P11" s="387"/>
      <c r="Q11" s="387"/>
      <c r="R11" s="238" t="s">
        <v>333</v>
      </c>
    </row>
    <row r="12" spans="1:18" ht="12.75">
      <c r="A12" s="244"/>
      <c r="B12" s="244"/>
      <c r="C12" s="245"/>
      <c r="D12" s="246"/>
      <c r="E12" s="246" t="s">
        <v>334</v>
      </c>
      <c r="G12" s="246"/>
      <c r="N12" s="246" t="s">
        <v>46</v>
      </c>
      <c r="O12" s="387">
        <f>PI()*J8</f>
        <v>94.24777960769379</v>
      </c>
      <c r="P12" s="387"/>
      <c r="Q12" s="387"/>
      <c r="R12" s="238" t="s">
        <v>42</v>
      </c>
    </row>
    <row r="13" spans="1:17" ht="12.75">
      <c r="A13" s="244"/>
      <c r="B13" s="244"/>
      <c r="C13" s="245"/>
      <c r="D13" s="246"/>
      <c r="E13" s="246"/>
      <c r="G13" s="246"/>
      <c r="N13" s="246"/>
      <c r="O13" s="104"/>
      <c r="P13" s="104"/>
      <c r="Q13" s="104"/>
    </row>
    <row r="14" spans="1:4" ht="12.75">
      <c r="A14" s="237"/>
      <c r="B14" s="237"/>
      <c r="D14" s="246" t="s">
        <v>335</v>
      </c>
    </row>
    <row r="15" spans="1:10" ht="12.75">
      <c r="A15" s="237"/>
      <c r="B15" s="237"/>
      <c r="E15" s="246" t="s">
        <v>336</v>
      </c>
      <c r="G15" s="246" t="s">
        <v>46</v>
      </c>
      <c r="H15" s="381">
        <v>80</v>
      </c>
      <c r="I15" s="381"/>
      <c r="J15" s="238" t="s">
        <v>310</v>
      </c>
    </row>
    <row r="16" spans="1:10" ht="12.75">
      <c r="A16" s="237"/>
      <c r="B16" s="237"/>
      <c r="E16" s="246" t="s">
        <v>337</v>
      </c>
      <c r="G16" s="246" t="s">
        <v>46</v>
      </c>
      <c r="H16" s="381">
        <v>400</v>
      </c>
      <c r="I16" s="381"/>
      <c r="J16" s="238" t="s">
        <v>338</v>
      </c>
    </row>
    <row r="17" spans="1:2" ht="12.75">
      <c r="A17" s="237"/>
      <c r="B17" s="237"/>
    </row>
    <row r="18" spans="1:4" ht="12.75">
      <c r="A18" s="237"/>
      <c r="B18" s="237"/>
      <c r="D18" s="246" t="s">
        <v>339</v>
      </c>
    </row>
    <row r="19" spans="1:2" ht="7.5" customHeight="1">
      <c r="A19" s="237"/>
      <c r="B19" s="237"/>
    </row>
    <row r="20" spans="1:12" ht="12.75">
      <c r="A20" s="237"/>
      <c r="B20" s="237"/>
      <c r="E20" s="380" t="s">
        <v>340</v>
      </c>
      <c r="F20" s="380"/>
      <c r="H20" s="247" t="s">
        <v>341</v>
      </c>
      <c r="I20" s="247"/>
      <c r="J20" s="383" t="s">
        <v>117</v>
      </c>
      <c r="K20" s="247" t="s">
        <v>342</v>
      </c>
      <c r="L20" s="247"/>
    </row>
    <row r="21" spans="1:13" ht="12.75">
      <c r="A21" s="237"/>
      <c r="B21" s="237"/>
      <c r="E21" s="380"/>
      <c r="F21" s="380"/>
      <c r="H21" s="381">
        <v>3</v>
      </c>
      <c r="I21" s="381"/>
      <c r="J21" s="380"/>
      <c r="K21" s="386">
        <v>5</v>
      </c>
      <c r="L21" s="386"/>
      <c r="M21" s="61"/>
    </row>
    <row r="22" spans="1:2" ht="7.5" customHeight="1">
      <c r="A22" s="237"/>
      <c r="B22" s="237"/>
    </row>
    <row r="23" spans="1:14" ht="12.75">
      <c r="A23" s="237"/>
      <c r="B23" s="237"/>
      <c r="F23" s="384" t="s">
        <v>46</v>
      </c>
      <c r="H23" s="382">
        <f>+O11*H15</f>
        <v>56548.66776461627</v>
      </c>
      <c r="I23" s="382"/>
      <c r="J23" s="382"/>
      <c r="K23" s="383" t="s">
        <v>117</v>
      </c>
      <c r="L23" s="382">
        <f>+O12*H16</f>
        <v>37699.11184307752</v>
      </c>
      <c r="M23" s="382"/>
      <c r="N23" s="382"/>
    </row>
    <row r="24" spans="1:13" ht="12.75">
      <c r="A24" s="237"/>
      <c r="B24" s="237"/>
      <c r="F24" s="384"/>
      <c r="I24" s="238">
        <v>3</v>
      </c>
      <c r="K24" s="380"/>
      <c r="M24" s="238">
        <v>5</v>
      </c>
    </row>
    <row r="25" spans="1:2" ht="6" customHeight="1">
      <c r="A25" s="237"/>
      <c r="B25" s="237"/>
    </row>
    <row r="26" spans="1:14" ht="12.75">
      <c r="A26" s="237"/>
      <c r="B26" s="237"/>
      <c r="F26" s="238" t="s">
        <v>46</v>
      </c>
      <c r="H26" s="381">
        <f>+H23/I24</f>
        <v>18849.55592153876</v>
      </c>
      <c r="I26" s="381"/>
      <c r="J26" s="381"/>
      <c r="K26" s="246" t="s">
        <v>117</v>
      </c>
      <c r="L26" s="381">
        <f>+L23/M24</f>
        <v>7539.822368615503</v>
      </c>
      <c r="M26" s="381"/>
      <c r="N26" s="381"/>
    </row>
    <row r="27" spans="1:2" ht="7.5" customHeight="1">
      <c r="A27" s="237"/>
      <c r="B27" s="237"/>
    </row>
    <row r="28" spans="1:12" ht="12.75">
      <c r="A28" s="237"/>
      <c r="B28" s="237"/>
      <c r="F28" s="238" t="s">
        <v>46</v>
      </c>
      <c r="H28" s="385">
        <f>+H26+L26</f>
        <v>26389.37829015426</v>
      </c>
      <c r="I28" s="385"/>
      <c r="J28" s="385"/>
      <c r="K28" s="385"/>
      <c r="L28" s="238" t="s">
        <v>97</v>
      </c>
    </row>
    <row r="29" spans="1:2" ht="8.25" customHeight="1">
      <c r="A29" s="237"/>
      <c r="B29" s="237"/>
    </row>
    <row r="30" spans="1:12" ht="12.75">
      <c r="A30" s="237"/>
      <c r="B30" s="237"/>
      <c r="F30" s="238" t="s">
        <v>46</v>
      </c>
      <c r="H30" s="385">
        <f>+H28/1000</f>
        <v>26.389378290154262</v>
      </c>
      <c r="I30" s="385"/>
      <c r="J30" s="385"/>
      <c r="K30" s="385"/>
      <c r="L30" s="238" t="s">
        <v>343</v>
      </c>
    </row>
    <row r="31" spans="1:2" ht="12.75">
      <c r="A31" s="237"/>
      <c r="B31" s="237"/>
    </row>
    <row r="32" spans="1:3" ht="12.75">
      <c r="A32" s="237"/>
      <c r="B32" s="237"/>
      <c r="C32" s="243" t="s">
        <v>344</v>
      </c>
    </row>
    <row r="33" spans="1:2" ht="12.75">
      <c r="A33" s="237"/>
      <c r="B33" s="237"/>
    </row>
    <row r="34" spans="1:2" ht="12.75">
      <c r="A34" s="237"/>
      <c r="B34" s="237"/>
    </row>
    <row r="35" spans="1:2" ht="12.75">
      <c r="A35" s="237"/>
      <c r="B35" s="237"/>
    </row>
    <row r="36" spans="1:2" ht="12.75">
      <c r="A36" s="237"/>
      <c r="B36" s="237"/>
    </row>
    <row r="37" spans="1:2" ht="12.75">
      <c r="A37" s="237"/>
      <c r="B37" s="237"/>
    </row>
    <row r="38" spans="1:2" ht="12.75">
      <c r="A38" s="237"/>
      <c r="B38" s="237"/>
    </row>
    <row r="39" spans="1:2" ht="12.75">
      <c r="A39" s="237"/>
      <c r="B39" s="237"/>
    </row>
    <row r="40" spans="1:2" ht="12.75">
      <c r="A40" s="237"/>
      <c r="B40" s="237"/>
    </row>
    <row r="41" spans="1:2" ht="12.75">
      <c r="A41" s="237"/>
      <c r="B41" s="237"/>
    </row>
    <row r="42" spans="1:2" ht="12.75">
      <c r="A42" s="237"/>
      <c r="B42" s="237"/>
    </row>
    <row r="43" spans="1:2" ht="12.75">
      <c r="A43" s="237"/>
      <c r="B43" s="237"/>
    </row>
    <row r="44" spans="1:2" ht="12.75">
      <c r="A44" s="237"/>
      <c r="B44" s="237"/>
    </row>
    <row r="45" spans="1:17" ht="12.75">
      <c r="A45" s="237"/>
      <c r="B45" s="237"/>
      <c r="E45" s="380" t="s">
        <v>345</v>
      </c>
      <c r="F45" s="380"/>
      <c r="G45" s="380" t="s">
        <v>346</v>
      </c>
      <c r="I45" s="248" t="s">
        <v>90</v>
      </c>
      <c r="L45" s="249" t="s">
        <v>347</v>
      </c>
      <c r="M45" s="247"/>
      <c r="N45" s="247"/>
      <c r="O45" s="247"/>
      <c r="P45" s="247"/>
      <c r="Q45" s="247"/>
    </row>
    <row r="46" spans="1:14" ht="14.25">
      <c r="A46" s="237"/>
      <c r="B46" s="237"/>
      <c r="E46" s="380"/>
      <c r="F46" s="380"/>
      <c r="G46" s="380"/>
      <c r="I46" s="246" t="s">
        <v>369</v>
      </c>
      <c r="N46" s="238" t="s">
        <v>348</v>
      </c>
    </row>
    <row r="47" spans="1:2" ht="12.75">
      <c r="A47" s="237"/>
      <c r="B47" s="237"/>
    </row>
    <row r="48" spans="1:10" ht="12.75">
      <c r="A48" s="237"/>
      <c r="B48" s="237"/>
      <c r="F48" s="238" t="s">
        <v>349</v>
      </c>
      <c r="I48" s="250" t="s">
        <v>90</v>
      </c>
      <c r="J48" s="246" t="s">
        <v>350</v>
      </c>
    </row>
    <row r="49" spans="1:22" ht="12.75">
      <c r="A49" s="237"/>
      <c r="B49" s="237"/>
      <c r="I49" s="238" t="s">
        <v>53</v>
      </c>
      <c r="J49" s="246" t="s">
        <v>351</v>
      </c>
      <c r="S49" s="238" t="s">
        <v>46</v>
      </c>
      <c r="U49" s="238">
        <v>2</v>
      </c>
      <c r="V49" s="238" t="s">
        <v>352</v>
      </c>
    </row>
    <row r="50" spans="1:22" ht="12.75">
      <c r="A50" s="237"/>
      <c r="B50" s="237"/>
      <c r="I50" s="238" t="s">
        <v>353</v>
      </c>
      <c r="J50" s="246" t="s">
        <v>354</v>
      </c>
      <c r="S50" s="238" t="s">
        <v>46</v>
      </c>
      <c r="U50" s="238">
        <v>2</v>
      </c>
      <c r="V50" s="238" t="s">
        <v>352</v>
      </c>
    </row>
    <row r="51" spans="1:22" ht="12.75">
      <c r="A51" s="237"/>
      <c r="B51" s="237"/>
      <c r="I51" s="238" t="s">
        <v>93</v>
      </c>
      <c r="J51" s="246" t="s">
        <v>355</v>
      </c>
      <c r="S51" s="238" t="s">
        <v>46</v>
      </c>
      <c r="T51" s="379">
        <v>30</v>
      </c>
      <c r="U51" s="379"/>
      <c r="V51" s="238" t="s">
        <v>42</v>
      </c>
    </row>
    <row r="52" spans="1:22" ht="12.75">
      <c r="A52" s="237"/>
      <c r="B52" s="237"/>
      <c r="I52" s="238" t="s">
        <v>49</v>
      </c>
      <c r="J52" s="246" t="s">
        <v>356</v>
      </c>
      <c r="S52" s="238" t="s">
        <v>46</v>
      </c>
      <c r="T52" s="381">
        <v>60</v>
      </c>
      <c r="U52" s="381"/>
      <c r="V52" s="238" t="s">
        <v>42</v>
      </c>
    </row>
    <row r="53" spans="1:2" ht="12.75">
      <c r="A53" s="237"/>
      <c r="B53" s="237"/>
    </row>
    <row r="54" spans="1:7" ht="12.75">
      <c r="A54" s="237"/>
      <c r="B54" s="237"/>
      <c r="E54" s="251" t="s">
        <v>90</v>
      </c>
      <c r="F54" s="61" t="s">
        <v>357</v>
      </c>
      <c r="G54" s="238" t="s">
        <v>358</v>
      </c>
    </row>
    <row r="55" spans="1:11" ht="12.75">
      <c r="A55" s="237"/>
      <c r="B55" s="237"/>
      <c r="F55" s="380" t="s">
        <v>357</v>
      </c>
      <c r="G55" s="380" t="s">
        <v>359</v>
      </c>
      <c r="H55" s="380"/>
      <c r="J55" s="382">
        <f>+T51</f>
        <v>30</v>
      </c>
      <c r="K55" s="382"/>
    </row>
    <row r="56" spans="1:11" ht="12.75">
      <c r="A56" s="237"/>
      <c r="B56" s="237"/>
      <c r="F56" s="380"/>
      <c r="G56" s="380"/>
      <c r="H56" s="380"/>
      <c r="J56" s="381">
        <f>+T52</f>
        <v>60</v>
      </c>
      <c r="K56" s="381"/>
    </row>
    <row r="57" spans="1:9" ht="14.25">
      <c r="A57" s="237"/>
      <c r="B57" s="237"/>
      <c r="F57" s="61" t="s">
        <v>357</v>
      </c>
      <c r="G57" s="381">
        <v>11.31</v>
      </c>
      <c r="H57" s="381"/>
      <c r="I57" s="252" t="s">
        <v>360</v>
      </c>
    </row>
    <row r="58" spans="1:8" ht="12.75">
      <c r="A58" s="237"/>
      <c r="B58" s="237"/>
      <c r="G58" s="61"/>
      <c r="H58" s="61"/>
    </row>
    <row r="59" spans="1:22" ht="12.75">
      <c r="A59" s="237"/>
      <c r="B59" s="237"/>
      <c r="E59" s="380" t="s">
        <v>345</v>
      </c>
      <c r="F59" s="380"/>
      <c r="G59" s="380" t="s">
        <v>361</v>
      </c>
      <c r="I59" s="389">
        <f>+G57</f>
        <v>11.31</v>
      </c>
      <c r="J59" s="389"/>
      <c r="L59" s="253" t="s">
        <v>362</v>
      </c>
      <c r="M59" s="249">
        <f>+U50</f>
        <v>2</v>
      </c>
      <c r="N59" s="249" t="s">
        <v>363</v>
      </c>
      <c r="O59" s="247" t="s">
        <v>364</v>
      </c>
      <c r="P59" s="247">
        <f>+U49</f>
        <v>2</v>
      </c>
      <c r="Q59" s="254" t="s">
        <v>365</v>
      </c>
      <c r="R59" s="247">
        <f>+U49</f>
        <v>2</v>
      </c>
      <c r="S59" s="249" t="s">
        <v>363</v>
      </c>
      <c r="T59" s="247" t="s">
        <v>364</v>
      </c>
      <c r="U59" s="247">
        <f>+U50</f>
        <v>2</v>
      </c>
      <c r="V59" s="255" t="s">
        <v>366</v>
      </c>
    </row>
    <row r="60" spans="1:18" ht="14.25">
      <c r="A60" s="237"/>
      <c r="B60" s="237"/>
      <c r="E60" s="380"/>
      <c r="F60" s="380"/>
      <c r="G60" s="380"/>
      <c r="I60" s="390" t="s">
        <v>369</v>
      </c>
      <c r="J60" s="390"/>
      <c r="O60" s="238">
        <f>+U49</f>
        <v>2</v>
      </c>
      <c r="Q60" s="238" t="s">
        <v>367</v>
      </c>
      <c r="R60" s="238">
        <f>+U50</f>
        <v>2</v>
      </c>
    </row>
    <row r="61" spans="1:13" ht="12.75">
      <c r="A61" s="237"/>
      <c r="B61" s="237"/>
      <c r="F61" s="61" t="s">
        <v>357</v>
      </c>
      <c r="G61" s="256" t="s">
        <v>361</v>
      </c>
      <c r="H61" s="61" t="s">
        <v>111</v>
      </c>
      <c r="I61" s="381">
        <f>+I59/90</f>
        <v>0.12566666666666668</v>
      </c>
      <c r="J61" s="381"/>
      <c r="K61" s="238" t="s">
        <v>367</v>
      </c>
      <c r="L61" s="238">
        <f>+(((M59-1)*P59)+((R59-1)*U59))/(O60*R60)</f>
        <v>1</v>
      </c>
      <c r="M61" s="238" t="s">
        <v>368</v>
      </c>
    </row>
    <row r="62" spans="1:8" ht="18" customHeight="1">
      <c r="A62" s="237"/>
      <c r="B62" s="237"/>
      <c r="F62" s="61" t="s">
        <v>357</v>
      </c>
      <c r="G62" s="381">
        <f>1-(I61*L61)</f>
        <v>0.8743333333333333</v>
      </c>
      <c r="H62" s="381"/>
    </row>
    <row r="63" spans="1:8" ht="12.75">
      <c r="A63" s="237"/>
      <c r="B63" s="237"/>
      <c r="G63" s="381"/>
      <c r="H63" s="381"/>
    </row>
    <row r="64" spans="1:8" ht="12.75">
      <c r="A64" s="237"/>
      <c r="B64" s="237"/>
      <c r="G64" s="61"/>
      <c r="H64" s="61"/>
    </row>
    <row r="65" spans="1:8" ht="12.75">
      <c r="A65" s="237"/>
      <c r="B65" s="237"/>
      <c r="C65" s="243" t="s">
        <v>328</v>
      </c>
      <c r="G65" s="61"/>
      <c r="H65" s="61"/>
    </row>
    <row r="66" spans="1:8" ht="12.75">
      <c r="A66" s="237"/>
      <c r="B66" s="237"/>
      <c r="G66" s="61"/>
      <c r="H66" s="61"/>
    </row>
    <row r="67" spans="1:12" ht="12.75">
      <c r="A67" s="237"/>
      <c r="B67" s="237"/>
      <c r="D67" s="379" t="s">
        <v>340</v>
      </c>
      <c r="E67" s="379"/>
      <c r="G67" s="388">
        <f>+H30</f>
        <v>26.389378290154262</v>
      </c>
      <c r="H67" s="388"/>
      <c r="I67" s="388"/>
      <c r="J67" s="238" t="s">
        <v>367</v>
      </c>
      <c r="K67" s="381">
        <f>+G62</f>
        <v>0.8743333333333333</v>
      </c>
      <c r="L67" s="381"/>
    </row>
    <row r="68" spans="1:9" ht="12.75">
      <c r="A68" s="237"/>
      <c r="B68" s="237"/>
      <c r="E68" s="104" t="s">
        <v>46</v>
      </c>
      <c r="G68" s="381">
        <f>+G67*K67</f>
        <v>23.073113085024875</v>
      </c>
      <c r="H68" s="381"/>
      <c r="I68" s="238" t="s">
        <v>343</v>
      </c>
    </row>
    <row r="69" ht="12.75">
      <c r="A69" s="237"/>
    </row>
    <row r="70" ht="12.75">
      <c r="A70" s="237"/>
    </row>
    <row r="71" ht="12.75">
      <c r="A71" s="237"/>
    </row>
    <row r="72" ht="12.75">
      <c r="A72" s="237"/>
    </row>
    <row r="73" ht="12.75">
      <c r="A73" s="237"/>
    </row>
    <row r="74" ht="12.75">
      <c r="A74" s="237"/>
    </row>
    <row r="75" ht="12.75">
      <c r="A75" s="237"/>
    </row>
    <row r="76" ht="12.75">
      <c r="A76" s="237"/>
    </row>
    <row r="77" ht="12.75">
      <c r="A77" s="237"/>
    </row>
    <row r="78" ht="12.75">
      <c r="A78" s="237"/>
    </row>
    <row r="79" ht="12.75">
      <c r="A79" s="237"/>
    </row>
    <row r="80" ht="12.75">
      <c r="A80" s="237"/>
    </row>
    <row r="81" ht="12.75">
      <c r="A81" s="237"/>
    </row>
  </sheetData>
  <sheetProtection/>
  <mergeCells count="38">
    <mergeCell ref="G68:H68"/>
    <mergeCell ref="J55:K55"/>
    <mergeCell ref="G67:I67"/>
    <mergeCell ref="K67:L67"/>
    <mergeCell ref="I59:J59"/>
    <mergeCell ref="I60:J60"/>
    <mergeCell ref="I61:J61"/>
    <mergeCell ref="J56:K56"/>
    <mergeCell ref="J8:K8"/>
    <mergeCell ref="T52:U52"/>
    <mergeCell ref="T51:U51"/>
    <mergeCell ref="J20:J21"/>
    <mergeCell ref="L23:N23"/>
    <mergeCell ref="O11:Q11"/>
    <mergeCell ref="O12:Q12"/>
    <mergeCell ref="J9:K9"/>
    <mergeCell ref="L26:N26"/>
    <mergeCell ref="H28:K28"/>
    <mergeCell ref="H15:I15"/>
    <mergeCell ref="H16:I16"/>
    <mergeCell ref="E20:F21"/>
    <mergeCell ref="H30:K30"/>
    <mergeCell ref="H21:I21"/>
    <mergeCell ref="K21:L21"/>
    <mergeCell ref="E45:F46"/>
    <mergeCell ref="G45:G46"/>
    <mergeCell ref="H23:J23"/>
    <mergeCell ref="K23:K24"/>
    <mergeCell ref="F23:F24"/>
    <mergeCell ref="H26:J26"/>
    <mergeCell ref="D67:E67"/>
    <mergeCell ref="F55:F56"/>
    <mergeCell ref="G57:H57"/>
    <mergeCell ref="G63:H63"/>
    <mergeCell ref="E59:F60"/>
    <mergeCell ref="G59:G60"/>
    <mergeCell ref="G62:H62"/>
    <mergeCell ref="G55:H56"/>
  </mergeCells>
  <printOptions/>
  <pageMargins left="0.75" right="0.75" top="0.54" bottom="0.7" header="0.3" footer="0.5"/>
  <pageSetup firstPageNumber="17" useFirstPageNumber="1" horizontalDpi="1200" verticalDpi="1200" orientation="portrait" paperSize="9" scale="85" r:id="rId2"/>
  <headerFooter alignWithMargins="0">
    <oddFooter>&amp;C&amp;9HAL. A-&amp;P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4:N118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57421875" style="159" customWidth="1"/>
    <col min="2" max="2" width="1.7109375" style="159" customWidth="1"/>
    <col min="3" max="3" width="6.00390625" style="159" customWidth="1"/>
    <col min="4" max="6" width="7.421875" style="159" hidden="1" customWidth="1"/>
    <col min="7" max="7" width="5.57421875" style="159" customWidth="1"/>
    <col min="8" max="8" width="23.28125" style="159" customWidth="1"/>
    <col min="9" max="10" width="10.140625" style="159" customWidth="1"/>
    <col min="11" max="11" width="12.57421875" style="159" customWidth="1"/>
    <col min="12" max="12" width="8.57421875" style="159" customWidth="1"/>
    <col min="13" max="13" width="10.57421875" style="159" customWidth="1"/>
    <col min="14" max="14" width="5.57421875" style="159" customWidth="1"/>
    <col min="15" max="18" width="7.421875" style="159" customWidth="1"/>
    <col min="19" max="19" width="7.00390625" style="159" customWidth="1"/>
    <col min="20" max="20" width="9.421875" style="159" bestFit="1" customWidth="1"/>
    <col min="21" max="21" width="11.57421875" style="159" customWidth="1"/>
    <col min="22" max="16384" width="9.140625" style="159" customWidth="1"/>
  </cols>
  <sheetData>
    <row r="1" ht="12.75"/>
    <row r="2" ht="12.75"/>
    <row r="4" spans="1:8" ht="22.5">
      <c r="A4" s="160"/>
      <c r="B4" s="158"/>
      <c r="C4" s="161" t="str">
        <f>"PERHITUNGAN PONDASI PELAT"</f>
        <v>PERHITUNGAN PONDASI PELAT</v>
      </c>
      <c r="D4" s="161"/>
      <c r="E4" s="161"/>
      <c r="F4" s="161"/>
      <c r="G4" s="162"/>
      <c r="H4" s="162"/>
    </row>
    <row r="5" spans="1:8" ht="19.5" customHeight="1">
      <c r="A5" s="163"/>
      <c r="B5" s="158"/>
      <c r="C5" s="164"/>
      <c r="D5" s="164"/>
      <c r="E5" s="164"/>
      <c r="F5" s="164"/>
      <c r="G5" s="162"/>
      <c r="H5" s="162"/>
    </row>
    <row r="6" spans="1:11" ht="15">
      <c r="A6" s="165"/>
      <c r="B6" s="158"/>
      <c r="C6" s="17" t="s">
        <v>384</v>
      </c>
      <c r="D6" s="17"/>
      <c r="E6" s="17"/>
      <c r="F6" s="17"/>
      <c r="G6"/>
      <c r="H6"/>
      <c r="I6"/>
      <c r="J6"/>
      <c r="K6" s="169"/>
    </row>
    <row r="7" spans="1:13" ht="15">
      <c r="A7" s="165"/>
      <c r="B7" s="158"/>
      <c r="C7" s="16"/>
      <c r="D7" s="260" t="s">
        <v>162</v>
      </c>
      <c r="E7" s="261" t="s">
        <v>385</v>
      </c>
      <c r="F7" s="262" t="s">
        <v>386</v>
      </c>
      <c r="G7" s="263" t="s">
        <v>385</v>
      </c>
      <c r="H7" s="263" t="s">
        <v>386</v>
      </c>
      <c r="I7" s="263" t="s">
        <v>162</v>
      </c>
      <c r="J7" s="264" t="s">
        <v>451</v>
      </c>
      <c r="K7" s="264" t="s">
        <v>452</v>
      </c>
      <c r="L7" s="265"/>
      <c r="M7" s="7"/>
    </row>
    <row r="8" spans="1:13" ht="15">
      <c r="A8" s="165"/>
      <c r="B8" s="158"/>
      <c r="C8" s="8" t="s">
        <v>387</v>
      </c>
      <c r="D8" s="266">
        <v>38603</v>
      </c>
      <c r="E8" s="38">
        <v>0</v>
      </c>
      <c r="F8" s="267">
        <v>0</v>
      </c>
      <c r="G8" s="23">
        <f aca="true" t="shared" si="0" ref="G8:G55">E8</f>
        <v>0</v>
      </c>
      <c r="H8" s="175">
        <f aca="true" t="shared" si="1" ref="H8:H55">F8</f>
        <v>0</v>
      </c>
      <c r="I8" s="159">
        <f aca="true" t="shared" si="2" ref="I8:I55">D8</f>
        <v>38603</v>
      </c>
      <c r="J8" s="38">
        <f aca="true" t="shared" si="3" ref="J8:J55">G8*I8</f>
        <v>0</v>
      </c>
      <c r="K8" s="38">
        <f aca="true" t="shared" si="4" ref="K8:K55">I8*H8</f>
        <v>0</v>
      </c>
      <c r="L8" s="7"/>
      <c r="M8" s="7"/>
    </row>
    <row r="9" spans="1:13" ht="15">
      <c r="A9" s="165"/>
      <c r="B9" s="158"/>
      <c r="C9" s="8" t="s">
        <v>388</v>
      </c>
      <c r="D9" s="266">
        <v>139119</v>
      </c>
      <c r="E9" s="38">
        <v>0</v>
      </c>
      <c r="F9" s="267">
        <v>4.5</v>
      </c>
      <c r="G9" s="23">
        <f t="shared" si="0"/>
        <v>0</v>
      </c>
      <c r="H9" s="175">
        <f t="shared" si="1"/>
        <v>4.5</v>
      </c>
      <c r="I9" s="159">
        <f t="shared" si="2"/>
        <v>139119</v>
      </c>
      <c r="J9" s="38">
        <f t="shared" si="3"/>
        <v>0</v>
      </c>
      <c r="K9" s="38">
        <f t="shared" si="4"/>
        <v>626035.5</v>
      </c>
      <c r="L9" s="7"/>
      <c r="M9" s="7"/>
    </row>
    <row r="10" spans="1:13" ht="15">
      <c r="A10" s="165"/>
      <c r="B10" s="158"/>
      <c r="C10" s="8" t="s">
        <v>389</v>
      </c>
      <c r="D10" s="266">
        <v>137747</v>
      </c>
      <c r="E10" s="38">
        <v>0</v>
      </c>
      <c r="F10" s="267">
        <v>9.5</v>
      </c>
      <c r="G10" s="23">
        <f t="shared" si="0"/>
        <v>0</v>
      </c>
      <c r="H10" s="175">
        <f t="shared" si="1"/>
        <v>9.5</v>
      </c>
      <c r="I10" s="159">
        <f t="shared" si="2"/>
        <v>137747</v>
      </c>
      <c r="J10" s="38">
        <f t="shared" si="3"/>
        <v>0</v>
      </c>
      <c r="K10" s="38">
        <f t="shared" si="4"/>
        <v>1308596.5</v>
      </c>
      <c r="L10" s="7"/>
      <c r="M10" s="7"/>
    </row>
    <row r="11" spans="1:13" ht="15">
      <c r="A11" s="165"/>
      <c r="B11" s="158"/>
      <c r="C11" s="8" t="s">
        <v>390</v>
      </c>
      <c r="D11" s="266">
        <v>25171</v>
      </c>
      <c r="E11" s="268">
        <v>0</v>
      </c>
      <c r="F11" s="267">
        <v>14.5</v>
      </c>
      <c r="G11" s="23">
        <f t="shared" si="0"/>
        <v>0</v>
      </c>
      <c r="H11" s="175">
        <f t="shared" si="1"/>
        <v>14.5</v>
      </c>
      <c r="I11" s="159">
        <f t="shared" si="2"/>
        <v>25171</v>
      </c>
      <c r="J11" s="38">
        <f t="shared" si="3"/>
        <v>0</v>
      </c>
      <c r="K11" s="38">
        <f t="shared" si="4"/>
        <v>364979.5</v>
      </c>
      <c r="L11" s="7"/>
      <c r="M11" s="7"/>
    </row>
    <row r="12" spans="1:13" ht="15">
      <c r="A12" s="165"/>
      <c r="B12" s="158"/>
      <c r="C12" s="8" t="s">
        <v>391</v>
      </c>
      <c r="D12" s="266">
        <v>3776</v>
      </c>
      <c r="E12" s="268">
        <v>0</v>
      </c>
      <c r="F12" s="267">
        <v>19.5</v>
      </c>
      <c r="G12" s="23">
        <f t="shared" si="0"/>
        <v>0</v>
      </c>
      <c r="H12" s="175">
        <f t="shared" si="1"/>
        <v>19.5</v>
      </c>
      <c r="I12" s="159">
        <f t="shared" si="2"/>
        <v>3776</v>
      </c>
      <c r="J12" s="38">
        <f t="shared" si="3"/>
        <v>0</v>
      </c>
      <c r="K12" s="38">
        <f t="shared" si="4"/>
        <v>73632</v>
      </c>
      <c r="L12" s="7"/>
      <c r="M12" s="7"/>
    </row>
    <row r="13" spans="1:13" ht="15">
      <c r="A13" s="165"/>
      <c r="B13" s="158"/>
      <c r="C13" s="8" t="s">
        <v>392</v>
      </c>
      <c r="D13" s="266">
        <v>65661</v>
      </c>
      <c r="E13" s="268">
        <v>6</v>
      </c>
      <c r="F13" s="267">
        <v>0</v>
      </c>
      <c r="G13" s="23">
        <f t="shared" si="0"/>
        <v>6</v>
      </c>
      <c r="H13" s="175">
        <f t="shared" si="1"/>
        <v>0</v>
      </c>
      <c r="I13" s="159">
        <f t="shared" si="2"/>
        <v>65661</v>
      </c>
      <c r="J13" s="38">
        <f t="shared" si="3"/>
        <v>393966</v>
      </c>
      <c r="K13" s="38">
        <f t="shared" si="4"/>
        <v>0</v>
      </c>
      <c r="L13" s="7"/>
      <c r="M13" s="7"/>
    </row>
    <row r="14" spans="1:13" ht="15">
      <c r="A14" s="165"/>
      <c r="B14" s="158"/>
      <c r="C14" s="8" t="s">
        <v>393</v>
      </c>
      <c r="D14" s="266">
        <v>111690</v>
      </c>
      <c r="E14" s="268">
        <v>6</v>
      </c>
      <c r="F14" s="267">
        <v>4.5</v>
      </c>
      <c r="G14" s="23">
        <f t="shared" si="0"/>
        <v>6</v>
      </c>
      <c r="H14" s="175">
        <f t="shared" si="1"/>
        <v>4.5</v>
      </c>
      <c r="I14" s="159">
        <f t="shared" si="2"/>
        <v>111690</v>
      </c>
      <c r="J14" s="38">
        <f t="shared" si="3"/>
        <v>670140</v>
      </c>
      <c r="K14" s="38">
        <f t="shared" si="4"/>
        <v>502605</v>
      </c>
      <c r="L14" s="7"/>
      <c r="M14" s="7"/>
    </row>
    <row r="15" spans="1:13" ht="15">
      <c r="A15" s="165"/>
      <c r="B15" s="158"/>
      <c r="C15" s="8" t="s">
        <v>394</v>
      </c>
      <c r="D15" s="266">
        <v>93617</v>
      </c>
      <c r="E15" s="268">
        <v>6</v>
      </c>
      <c r="F15" s="267">
        <v>9.5</v>
      </c>
      <c r="G15" s="23">
        <f t="shared" si="0"/>
        <v>6</v>
      </c>
      <c r="H15" s="175">
        <f t="shared" si="1"/>
        <v>9.5</v>
      </c>
      <c r="I15" s="159">
        <f t="shared" si="2"/>
        <v>93617</v>
      </c>
      <c r="J15" s="38">
        <f t="shared" si="3"/>
        <v>561702</v>
      </c>
      <c r="K15" s="38">
        <f t="shared" si="4"/>
        <v>889361.5</v>
      </c>
      <c r="L15" s="7"/>
      <c r="M15" s="7"/>
    </row>
    <row r="16" spans="1:13" ht="15">
      <c r="A16" s="165"/>
      <c r="B16" s="158"/>
      <c r="C16" s="8" t="s">
        <v>395</v>
      </c>
      <c r="D16" s="266">
        <v>5799</v>
      </c>
      <c r="E16" s="268">
        <v>6</v>
      </c>
      <c r="F16" s="267">
        <v>14.5</v>
      </c>
      <c r="G16" s="23">
        <f t="shared" si="0"/>
        <v>6</v>
      </c>
      <c r="H16" s="175">
        <f t="shared" si="1"/>
        <v>14.5</v>
      </c>
      <c r="I16" s="159">
        <f t="shared" si="2"/>
        <v>5799</v>
      </c>
      <c r="J16" s="38">
        <f t="shared" si="3"/>
        <v>34794</v>
      </c>
      <c r="K16" s="38">
        <f t="shared" si="4"/>
        <v>84085.5</v>
      </c>
      <c r="L16" s="7"/>
      <c r="M16" s="7"/>
    </row>
    <row r="17" spans="1:13" ht="15">
      <c r="A17" s="165"/>
      <c r="B17" s="158"/>
      <c r="C17" s="8" t="s">
        <v>396</v>
      </c>
      <c r="D17" s="266">
        <v>3776</v>
      </c>
      <c r="E17" s="268">
        <v>6</v>
      </c>
      <c r="F17" s="267">
        <v>19.5</v>
      </c>
      <c r="G17" s="23">
        <f t="shared" si="0"/>
        <v>6</v>
      </c>
      <c r="H17" s="175">
        <f t="shared" si="1"/>
        <v>19.5</v>
      </c>
      <c r="I17" s="159">
        <f t="shared" si="2"/>
        <v>3776</v>
      </c>
      <c r="J17" s="38">
        <f t="shared" si="3"/>
        <v>22656</v>
      </c>
      <c r="K17" s="38">
        <f t="shared" si="4"/>
        <v>73632</v>
      </c>
      <c r="L17" s="7"/>
      <c r="M17" s="7"/>
    </row>
    <row r="18" spans="1:13" ht="15">
      <c r="A18" s="165"/>
      <c r="B18" s="158"/>
      <c r="C18" s="8" t="s">
        <v>397</v>
      </c>
      <c r="D18" s="266">
        <v>65661</v>
      </c>
      <c r="E18" s="268">
        <v>12</v>
      </c>
      <c r="F18" s="267">
        <v>0</v>
      </c>
      <c r="G18" s="23">
        <f t="shared" si="0"/>
        <v>12</v>
      </c>
      <c r="H18" s="175">
        <f t="shared" si="1"/>
        <v>0</v>
      </c>
      <c r="I18" s="159">
        <f t="shared" si="2"/>
        <v>65661</v>
      </c>
      <c r="J18" s="38">
        <f t="shared" si="3"/>
        <v>787932</v>
      </c>
      <c r="K18" s="38">
        <f t="shared" si="4"/>
        <v>0</v>
      </c>
      <c r="L18" s="7"/>
      <c r="M18" s="7"/>
    </row>
    <row r="19" spans="1:13" ht="15">
      <c r="A19" s="165"/>
      <c r="B19" s="158"/>
      <c r="C19" s="8" t="s">
        <v>398</v>
      </c>
      <c r="D19" s="266">
        <v>21046</v>
      </c>
      <c r="E19" s="268">
        <v>12</v>
      </c>
      <c r="F19" s="267">
        <v>4.5</v>
      </c>
      <c r="G19" s="23">
        <f t="shared" si="0"/>
        <v>12</v>
      </c>
      <c r="H19" s="175">
        <f t="shared" si="1"/>
        <v>4.5</v>
      </c>
      <c r="I19" s="159">
        <f t="shared" si="2"/>
        <v>21046</v>
      </c>
      <c r="J19" s="38">
        <f t="shared" si="3"/>
        <v>252552</v>
      </c>
      <c r="K19" s="38">
        <f t="shared" si="4"/>
        <v>94707</v>
      </c>
      <c r="L19" s="7"/>
      <c r="M19" s="7"/>
    </row>
    <row r="20" spans="1:13" ht="15">
      <c r="A20" s="165"/>
      <c r="B20" s="158"/>
      <c r="C20" s="8" t="s">
        <v>399</v>
      </c>
      <c r="D20" s="266">
        <v>31609</v>
      </c>
      <c r="E20" s="268">
        <v>12</v>
      </c>
      <c r="F20" s="267">
        <v>9.5</v>
      </c>
      <c r="G20" s="23">
        <f t="shared" si="0"/>
        <v>12</v>
      </c>
      <c r="H20" s="175">
        <f t="shared" si="1"/>
        <v>9.5</v>
      </c>
      <c r="I20" s="159">
        <f t="shared" si="2"/>
        <v>31609</v>
      </c>
      <c r="J20" s="38">
        <f t="shared" si="3"/>
        <v>379308</v>
      </c>
      <c r="K20" s="38">
        <f t="shared" si="4"/>
        <v>300285.5</v>
      </c>
      <c r="L20" s="7"/>
      <c r="M20" s="7"/>
    </row>
    <row r="21" spans="1:13" ht="15">
      <c r="A21" s="165"/>
      <c r="B21" s="158"/>
      <c r="C21" s="8" t="s">
        <v>400</v>
      </c>
      <c r="D21" s="266">
        <v>25329</v>
      </c>
      <c r="E21" s="268">
        <v>12</v>
      </c>
      <c r="F21" s="267">
        <v>14.5</v>
      </c>
      <c r="G21" s="23">
        <f t="shared" si="0"/>
        <v>12</v>
      </c>
      <c r="H21" s="175">
        <f t="shared" si="1"/>
        <v>14.5</v>
      </c>
      <c r="I21" s="159">
        <f t="shared" si="2"/>
        <v>25329</v>
      </c>
      <c r="J21" s="38">
        <f t="shared" si="3"/>
        <v>303948</v>
      </c>
      <c r="K21" s="38">
        <f t="shared" si="4"/>
        <v>367270.5</v>
      </c>
      <c r="L21" s="7"/>
      <c r="M21" s="7"/>
    </row>
    <row r="22" spans="1:13" ht="15">
      <c r="A22" s="165"/>
      <c r="B22" s="158"/>
      <c r="C22" s="8" t="s">
        <v>401</v>
      </c>
      <c r="D22" s="266">
        <v>3776</v>
      </c>
      <c r="E22" s="268">
        <v>12</v>
      </c>
      <c r="F22" s="267">
        <v>19.5</v>
      </c>
      <c r="G22" s="23">
        <f t="shared" si="0"/>
        <v>12</v>
      </c>
      <c r="H22" s="175">
        <f t="shared" si="1"/>
        <v>19.5</v>
      </c>
      <c r="I22" s="159">
        <f t="shared" si="2"/>
        <v>3776</v>
      </c>
      <c r="J22" s="38">
        <f t="shared" si="3"/>
        <v>45312</v>
      </c>
      <c r="K22" s="38">
        <f t="shared" si="4"/>
        <v>73632</v>
      </c>
      <c r="L22" s="7"/>
      <c r="M22" s="7"/>
    </row>
    <row r="23" spans="1:13" ht="15">
      <c r="A23" s="165"/>
      <c r="B23" s="158"/>
      <c r="C23" s="8" t="s">
        <v>402</v>
      </c>
      <c r="D23" s="266">
        <v>69548</v>
      </c>
      <c r="E23" s="268">
        <v>18</v>
      </c>
      <c r="F23" s="267">
        <v>0</v>
      </c>
      <c r="G23" s="23">
        <f t="shared" si="0"/>
        <v>18</v>
      </c>
      <c r="H23" s="175">
        <f t="shared" si="1"/>
        <v>0</v>
      </c>
      <c r="I23" s="159">
        <f t="shared" si="2"/>
        <v>69548</v>
      </c>
      <c r="J23" s="38">
        <f t="shared" si="3"/>
        <v>1251864</v>
      </c>
      <c r="K23" s="38">
        <f t="shared" si="4"/>
        <v>0</v>
      </c>
      <c r="L23" s="7"/>
      <c r="M23" s="7"/>
    </row>
    <row r="24" spans="1:13" ht="15">
      <c r="A24" s="165"/>
      <c r="B24" s="158"/>
      <c r="C24" s="8" t="s">
        <v>403</v>
      </c>
      <c r="D24" s="266">
        <v>21046</v>
      </c>
      <c r="E24" s="268">
        <v>18</v>
      </c>
      <c r="F24" s="267">
        <v>4.5</v>
      </c>
      <c r="G24" s="23">
        <f t="shared" si="0"/>
        <v>18</v>
      </c>
      <c r="H24" s="175">
        <f t="shared" si="1"/>
        <v>4.5</v>
      </c>
      <c r="I24" s="159">
        <f t="shared" si="2"/>
        <v>21046</v>
      </c>
      <c r="J24" s="38">
        <f t="shared" si="3"/>
        <v>378828</v>
      </c>
      <c r="K24" s="38">
        <f t="shared" si="4"/>
        <v>94707</v>
      </c>
      <c r="L24" s="7"/>
      <c r="M24" s="7"/>
    </row>
    <row r="25" spans="1:13" ht="15">
      <c r="A25" s="165"/>
      <c r="B25" s="158"/>
      <c r="C25" s="8" t="s">
        <v>404</v>
      </c>
      <c r="D25" s="266">
        <v>31609</v>
      </c>
      <c r="E25" s="268">
        <v>18</v>
      </c>
      <c r="F25" s="267">
        <v>9.5</v>
      </c>
      <c r="G25" s="23">
        <f t="shared" si="0"/>
        <v>18</v>
      </c>
      <c r="H25" s="175">
        <f t="shared" si="1"/>
        <v>9.5</v>
      </c>
      <c r="I25" s="159">
        <f t="shared" si="2"/>
        <v>31609</v>
      </c>
      <c r="J25" s="38">
        <f t="shared" si="3"/>
        <v>568962</v>
      </c>
      <c r="K25" s="38">
        <f t="shared" si="4"/>
        <v>300285.5</v>
      </c>
      <c r="L25" s="7"/>
      <c r="M25" s="7"/>
    </row>
    <row r="26" spans="1:13" ht="15">
      <c r="A26" s="165"/>
      <c r="B26" s="158"/>
      <c r="C26" s="8" t="s">
        <v>405</v>
      </c>
      <c r="D26" s="266">
        <v>25329</v>
      </c>
      <c r="E26" s="268">
        <v>18</v>
      </c>
      <c r="F26" s="267">
        <v>14.5</v>
      </c>
      <c r="G26" s="23">
        <f t="shared" si="0"/>
        <v>18</v>
      </c>
      <c r="H26" s="175">
        <f t="shared" si="1"/>
        <v>14.5</v>
      </c>
      <c r="I26" s="159">
        <f t="shared" si="2"/>
        <v>25329</v>
      </c>
      <c r="J26" s="38">
        <f t="shared" si="3"/>
        <v>455922</v>
      </c>
      <c r="K26" s="38">
        <f t="shared" si="4"/>
        <v>367270.5</v>
      </c>
      <c r="L26" s="7"/>
      <c r="M26" s="7"/>
    </row>
    <row r="27" spans="1:13" ht="15">
      <c r="A27" s="165"/>
      <c r="B27" s="158"/>
      <c r="C27" s="8" t="s">
        <v>406</v>
      </c>
      <c r="D27" s="266">
        <v>3776</v>
      </c>
      <c r="E27" s="268">
        <v>18</v>
      </c>
      <c r="F27" s="267">
        <v>19.5</v>
      </c>
      <c r="G27" s="23">
        <f t="shared" si="0"/>
        <v>18</v>
      </c>
      <c r="H27" s="175">
        <f t="shared" si="1"/>
        <v>19.5</v>
      </c>
      <c r="I27" s="159">
        <f t="shared" si="2"/>
        <v>3776</v>
      </c>
      <c r="J27" s="38">
        <f t="shared" si="3"/>
        <v>67968</v>
      </c>
      <c r="K27" s="38">
        <f t="shared" si="4"/>
        <v>73632</v>
      </c>
      <c r="L27" s="7"/>
      <c r="M27" s="7"/>
    </row>
    <row r="28" spans="1:13" ht="15">
      <c r="A28" s="165"/>
      <c r="B28" s="158"/>
      <c r="C28" s="8" t="s">
        <v>407</v>
      </c>
      <c r="D28" s="266">
        <v>70284</v>
      </c>
      <c r="E28" s="268">
        <v>24</v>
      </c>
      <c r="F28" s="267">
        <v>0</v>
      </c>
      <c r="G28" s="23">
        <f t="shared" si="0"/>
        <v>24</v>
      </c>
      <c r="H28" s="175">
        <f t="shared" si="1"/>
        <v>0</v>
      </c>
      <c r="I28" s="159">
        <f t="shared" si="2"/>
        <v>70284</v>
      </c>
      <c r="J28" s="38">
        <f t="shared" si="3"/>
        <v>1686816</v>
      </c>
      <c r="K28" s="38">
        <f t="shared" si="4"/>
        <v>0</v>
      </c>
      <c r="L28" s="7"/>
      <c r="M28" s="7"/>
    </row>
    <row r="29" spans="1:13" ht="15">
      <c r="A29" s="165"/>
      <c r="B29" s="158"/>
      <c r="C29" s="8" t="s">
        <v>408</v>
      </c>
      <c r="D29" s="266">
        <v>21046</v>
      </c>
      <c r="E29" s="268">
        <v>24</v>
      </c>
      <c r="F29" s="267">
        <v>4.5</v>
      </c>
      <c r="G29" s="23">
        <f t="shared" si="0"/>
        <v>24</v>
      </c>
      <c r="H29" s="175">
        <f t="shared" si="1"/>
        <v>4.5</v>
      </c>
      <c r="I29" s="159">
        <f t="shared" si="2"/>
        <v>21046</v>
      </c>
      <c r="J29" s="38">
        <f t="shared" si="3"/>
        <v>505104</v>
      </c>
      <c r="K29" s="38">
        <f t="shared" si="4"/>
        <v>94707</v>
      </c>
      <c r="L29" s="7"/>
      <c r="M29" s="7"/>
    </row>
    <row r="30" spans="1:13" ht="15">
      <c r="A30" s="165"/>
      <c r="B30" s="158"/>
      <c r="C30" s="8" t="s">
        <v>409</v>
      </c>
      <c r="D30" s="266">
        <v>31609</v>
      </c>
      <c r="E30" s="268">
        <v>24</v>
      </c>
      <c r="F30" s="267">
        <v>9.5</v>
      </c>
      <c r="G30" s="23">
        <f t="shared" si="0"/>
        <v>24</v>
      </c>
      <c r="H30" s="175">
        <f t="shared" si="1"/>
        <v>9.5</v>
      </c>
      <c r="I30" s="159">
        <f t="shared" si="2"/>
        <v>31609</v>
      </c>
      <c r="J30" s="38">
        <f t="shared" si="3"/>
        <v>758616</v>
      </c>
      <c r="K30" s="38">
        <f t="shared" si="4"/>
        <v>300285.5</v>
      </c>
      <c r="L30" s="7"/>
      <c r="M30" s="7"/>
    </row>
    <row r="31" spans="1:13" ht="15">
      <c r="A31" s="165"/>
      <c r="B31" s="158"/>
      <c r="C31" s="8" t="s">
        <v>410</v>
      </c>
      <c r="D31" s="266">
        <v>25329</v>
      </c>
      <c r="E31" s="268">
        <v>24</v>
      </c>
      <c r="F31" s="267">
        <v>14.5</v>
      </c>
      <c r="G31" s="23">
        <f t="shared" si="0"/>
        <v>24</v>
      </c>
      <c r="H31" s="175">
        <f t="shared" si="1"/>
        <v>14.5</v>
      </c>
      <c r="I31" s="159">
        <f t="shared" si="2"/>
        <v>25329</v>
      </c>
      <c r="J31" s="38">
        <f t="shared" si="3"/>
        <v>607896</v>
      </c>
      <c r="K31" s="38">
        <f t="shared" si="4"/>
        <v>367270.5</v>
      </c>
      <c r="L31" s="7"/>
      <c r="M31" s="7"/>
    </row>
    <row r="32" spans="1:13" ht="15">
      <c r="A32" s="165"/>
      <c r="B32" s="158"/>
      <c r="C32" s="8" t="s">
        <v>411</v>
      </c>
      <c r="D32" s="266">
        <v>3776</v>
      </c>
      <c r="E32" s="268">
        <v>24</v>
      </c>
      <c r="F32" s="267">
        <v>19.5</v>
      </c>
      <c r="G32" s="23">
        <f t="shared" si="0"/>
        <v>24</v>
      </c>
      <c r="H32" s="175">
        <f t="shared" si="1"/>
        <v>19.5</v>
      </c>
      <c r="I32" s="159">
        <f t="shared" si="2"/>
        <v>3776</v>
      </c>
      <c r="J32" s="38">
        <f t="shared" si="3"/>
        <v>90624</v>
      </c>
      <c r="K32" s="38">
        <f t="shared" si="4"/>
        <v>73632</v>
      </c>
      <c r="L32" s="7"/>
      <c r="M32" s="7"/>
    </row>
    <row r="33" spans="1:13" ht="15">
      <c r="A33" s="165"/>
      <c r="B33" s="158"/>
      <c r="C33" s="8" t="s">
        <v>412</v>
      </c>
      <c r="D33" s="266">
        <v>68598</v>
      </c>
      <c r="E33" s="268">
        <v>30</v>
      </c>
      <c r="F33" s="267">
        <v>0</v>
      </c>
      <c r="G33" s="23">
        <f t="shared" si="0"/>
        <v>30</v>
      </c>
      <c r="H33" s="175">
        <f t="shared" si="1"/>
        <v>0</v>
      </c>
      <c r="I33" s="159">
        <f t="shared" si="2"/>
        <v>68598</v>
      </c>
      <c r="J33" s="38">
        <f t="shared" si="3"/>
        <v>2057940</v>
      </c>
      <c r="K33" s="38">
        <f t="shared" si="4"/>
        <v>0</v>
      </c>
      <c r="L33" s="7"/>
      <c r="M33" s="7"/>
    </row>
    <row r="34" spans="1:13" ht="15">
      <c r="A34" s="165"/>
      <c r="B34" s="158"/>
      <c r="C34" s="8" t="s">
        <v>413</v>
      </c>
      <c r="D34" s="266">
        <v>21046</v>
      </c>
      <c r="E34" s="268">
        <v>30</v>
      </c>
      <c r="F34" s="267">
        <v>4.5</v>
      </c>
      <c r="G34" s="23">
        <f t="shared" si="0"/>
        <v>30</v>
      </c>
      <c r="H34" s="175">
        <f t="shared" si="1"/>
        <v>4.5</v>
      </c>
      <c r="I34" s="159">
        <f t="shared" si="2"/>
        <v>21046</v>
      </c>
      <c r="J34" s="38">
        <f t="shared" si="3"/>
        <v>631380</v>
      </c>
      <c r="K34" s="38">
        <f t="shared" si="4"/>
        <v>94707</v>
      </c>
      <c r="L34" s="7"/>
      <c r="M34" s="7"/>
    </row>
    <row r="35" spans="1:13" ht="15">
      <c r="A35" s="165"/>
      <c r="B35" s="158"/>
      <c r="C35" s="8" t="s">
        <v>414</v>
      </c>
      <c r="D35" s="266">
        <v>87857</v>
      </c>
      <c r="E35" s="268">
        <v>30</v>
      </c>
      <c r="F35" s="267">
        <v>9.5</v>
      </c>
      <c r="G35" s="23">
        <f t="shared" si="0"/>
        <v>30</v>
      </c>
      <c r="H35" s="175">
        <f t="shared" si="1"/>
        <v>9.5</v>
      </c>
      <c r="I35" s="159">
        <f t="shared" si="2"/>
        <v>87857</v>
      </c>
      <c r="J35" s="38">
        <f t="shared" si="3"/>
        <v>2635710</v>
      </c>
      <c r="K35" s="38">
        <f t="shared" si="4"/>
        <v>834641.5</v>
      </c>
      <c r="L35" s="7"/>
      <c r="M35" s="7"/>
    </row>
    <row r="36" spans="1:13" ht="15">
      <c r="A36" s="165"/>
      <c r="B36" s="158"/>
      <c r="C36" s="8" t="s">
        <v>415</v>
      </c>
      <c r="D36" s="266">
        <v>25329</v>
      </c>
      <c r="E36" s="268">
        <v>30</v>
      </c>
      <c r="F36" s="267">
        <v>14.5</v>
      </c>
      <c r="G36" s="23">
        <f t="shared" si="0"/>
        <v>30</v>
      </c>
      <c r="H36" s="175">
        <f t="shared" si="1"/>
        <v>14.5</v>
      </c>
      <c r="I36" s="159">
        <f t="shared" si="2"/>
        <v>25329</v>
      </c>
      <c r="J36" s="38">
        <f t="shared" si="3"/>
        <v>759870</v>
      </c>
      <c r="K36" s="38">
        <f t="shared" si="4"/>
        <v>367270.5</v>
      </c>
      <c r="L36" s="7"/>
      <c r="M36" s="7"/>
    </row>
    <row r="37" spans="1:13" ht="15">
      <c r="A37" s="165"/>
      <c r="B37" s="158"/>
      <c r="C37" s="8" t="s">
        <v>416</v>
      </c>
      <c r="D37" s="266">
        <v>3776</v>
      </c>
      <c r="E37" s="268">
        <v>30</v>
      </c>
      <c r="F37" s="267">
        <v>19.5</v>
      </c>
      <c r="G37" s="23">
        <f t="shared" si="0"/>
        <v>30</v>
      </c>
      <c r="H37" s="175">
        <f t="shared" si="1"/>
        <v>19.5</v>
      </c>
      <c r="I37" s="159">
        <f t="shared" si="2"/>
        <v>3776</v>
      </c>
      <c r="J37" s="38">
        <f t="shared" si="3"/>
        <v>113280</v>
      </c>
      <c r="K37" s="38">
        <f t="shared" si="4"/>
        <v>73632</v>
      </c>
      <c r="L37" s="7"/>
      <c r="M37" s="7"/>
    </row>
    <row r="38" spans="1:13" ht="15">
      <c r="A38" s="165"/>
      <c r="B38" s="158"/>
      <c r="C38" s="8" t="s">
        <v>417</v>
      </c>
      <c r="D38" s="266">
        <v>67908</v>
      </c>
      <c r="E38" s="268">
        <v>36</v>
      </c>
      <c r="F38" s="267">
        <v>0</v>
      </c>
      <c r="G38" s="23">
        <f t="shared" si="0"/>
        <v>36</v>
      </c>
      <c r="H38" s="175">
        <f t="shared" si="1"/>
        <v>0</v>
      </c>
      <c r="I38" s="159">
        <f t="shared" si="2"/>
        <v>67908</v>
      </c>
      <c r="J38" s="38">
        <f t="shared" si="3"/>
        <v>2444688</v>
      </c>
      <c r="K38" s="38">
        <f t="shared" si="4"/>
        <v>0</v>
      </c>
      <c r="L38" s="7"/>
      <c r="M38" s="7"/>
    </row>
    <row r="39" spans="1:13" ht="15">
      <c r="A39" s="165"/>
      <c r="B39" s="158"/>
      <c r="C39" s="8" t="s">
        <v>418</v>
      </c>
      <c r="D39" s="266">
        <v>21046</v>
      </c>
      <c r="E39" s="268">
        <v>36</v>
      </c>
      <c r="F39" s="267">
        <v>4.5</v>
      </c>
      <c r="G39" s="23">
        <f t="shared" si="0"/>
        <v>36</v>
      </c>
      <c r="H39" s="175">
        <f t="shared" si="1"/>
        <v>4.5</v>
      </c>
      <c r="I39" s="159">
        <f t="shared" si="2"/>
        <v>21046</v>
      </c>
      <c r="J39" s="38">
        <f t="shared" si="3"/>
        <v>757656</v>
      </c>
      <c r="K39" s="38">
        <f t="shared" si="4"/>
        <v>94707</v>
      </c>
      <c r="L39" s="7"/>
      <c r="M39" s="7"/>
    </row>
    <row r="40" spans="1:13" ht="15">
      <c r="A40" s="165"/>
      <c r="B40" s="158"/>
      <c r="C40" s="8" t="s">
        <v>419</v>
      </c>
      <c r="D40" s="266">
        <v>87857</v>
      </c>
      <c r="E40" s="268">
        <v>36</v>
      </c>
      <c r="F40" s="267">
        <v>9.5</v>
      </c>
      <c r="G40" s="23">
        <f t="shared" si="0"/>
        <v>36</v>
      </c>
      <c r="H40" s="175">
        <f t="shared" si="1"/>
        <v>9.5</v>
      </c>
      <c r="I40" s="159">
        <f t="shared" si="2"/>
        <v>87857</v>
      </c>
      <c r="J40" s="38">
        <f t="shared" si="3"/>
        <v>3162852</v>
      </c>
      <c r="K40" s="38">
        <f t="shared" si="4"/>
        <v>834641.5</v>
      </c>
      <c r="L40" s="7"/>
      <c r="M40" s="7"/>
    </row>
    <row r="41" spans="1:13" ht="15">
      <c r="A41" s="165"/>
      <c r="B41" s="158"/>
      <c r="C41" s="8" t="s">
        <v>420</v>
      </c>
      <c r="D41" s="266">
        <v>25329</v>
      </c>
      <c r="E41" s="268">
        <v>36</v>
      </c>
      <c r="F41" s="267">
        <v>14.5</v>
      </c>
      <c r="G41" s="23">
        <f t="shared" si="0"/>
        <v>36</v>
      </c>
      <c r="H41" s="175">
        <f t="shared" si="1"/>
        <v>14.5</v>
      </c>
      <c r="I41" s="159">
        <f t="shared" si="2"/>
        <v>25329</v>
      </c>
      <c r="J41" s="38">
        <f t="shared" si="3"/>
        <v>911844</v>
      </c>
      <c r="K41" s="38">
        <f t="shared" si="4"/>
        <v>367270.5</v>
      </c>
      <c r="L41" s="7"/>
      <c r="M41" s="7"/>
    </row>
    <row r="42" spans="1:13" ht="15">
      <c r="A42" s="165"/>
      <c r="B42" s="158"/>
      <c r="C42" s="8" t="s">
        <v>421</v>
      </c>
      <c r="D42" s="266">
        <v>3776</v>
      </c>
      <c r="E42" s="268">
        <v>36</v>
      </c>
      <c r="F42" s="267">
        <v>19.5</v>
      </c>
      <c r="G42" s="23">
        <f t="shared" si="0"/>
        <v>36</v>
      </c>
      <c r="H42" s="175">
        <f t="shared" si="1"/>
        <v>19.5</v>
      </c>
      <c r="I42" s="159">
        <f t="shared" si="2"/>
        <v>3776</v>
      </c>
      <c r="J42" s="38">
        <f t="shared" si="3"/>
        <v>135936</v>
      </c>
      <c r="K42" s="38">
        <f t="shared" si="4"/>
        <v>73632</v>
      </c>
      <c r="L42" s="7"/>
      <c r="M42" s="7"/>
    </row>
    <row r="43" spans="1:13" ht="15">
      <c r="A43" s="165"/>
      <c r="B43" s="158"/>
      <c r="C43" s="8" t="s">
        <v>422</v>
      </c>
      <c r="D43" s="266">
        <v>67556</v>
      </c>
      <c r="E43" s="268">
        <v>42</v>
      </c>
      <c r="F43" s="267">
        <v>0</v>
      </c>
      <c r="G43" s="23">
        <f t="shared" si="0"/>
        <v>42</v>
      </c>
      <c r="H43" s="175">
        <f t="shared" si="1"/>
        <v>0</v>
      </c>
      <c r="I43" s="159">
        <f t="shared" si="2"/>
        <v>67556</v>
      </c>
      <c r="J43" s="38">
        <f t="shared" si="3"/>
        <v>2837352</v>
      </c>
      <c r="K43" s="38">
        <f t="shared" si="4"/>
        <v>0</v>
      </c>
      <c r="L43" s="7"/>
      <c r="M43" s="7"/>
    </row>
    <row r="44" spans="1:13" ht="15">
      <c r="A44" s="165"/>
      <c r="B44" s="158"/>
      <c r="C44" s="8" t="s">
        <v>423</v>
      </c>
      <c r="D44" s="266">
        <v>21046</v>
      </c>
      <c r="E44" s="268">
        <v>42</v>
      </c>
      <c r="F44" s="267">
        <v>4.5</v>
      </c>
      <c r="G44" s="23">
        <f t="shared" si="0"/>
        <v>42</v>
      </c>
      <c r="H44" s="175">
        <f t="shared" si="1"/>
        <v>4.5</v>
      </c>
      <c r="I44" s="159">
        <f t="shared" si="2"/>
        <v>21046</v>
      </c>
      <c r="J44" s="38">
        <f t="shared" si="3"/>
        <v>883932</v>
      </c>
      <c r="K44" s="38">
        <f t="shared" si="4"/>
        <v>94707</v>
      </c>
      <c r="L44" s="7"/>
      <c r="M44" s="7"/>
    </row>
    <row r="45" spans="1:13" ht="15">
      <c r="A45" s="165"/>
      <c r="B45" s="158"/>
      <c r="C45" s="8" t="s">
        <v>424</v>
      </c>
      <c r="D45" s="266">
        <v>156869</v>
      </c>
      <c r="E45" s="268">
        <v>42</v>
      </c>
      <c r="F45" s="267">
        <v>9.5</v>
      </c>
      <c r="G45" s="23">
        <f t="shared" si="0"/>
        <v>42</v>
      </c>
      <c r="H45" s="175">
        <f t="shared" si="1"/>
        <v>9.5</v>
      </c>
      <c r="I45" s="159">
        <f t="shared" si="2"/>
        <v>156869</v>
      </c>
      <c r="J45" s="38">
        <f t="shared" si="3"/>
        <v>6588498</v>
      </c>
      <c r="K45" s="38">
        <f t="shared" si="4"/>
        <v>1490255.5</v>
      </c>
      <c r="L45" s="7"/>
      <c r="M45" s="7"/>
    </row>
    <row r="46" spans="1:13" ht="15">
      <c r="A46" s="165"/>
      <c r="B46" s="158"/>
      <c r="C46" s="8" t="s">
        <v>425</v>
      </c>
      <c r="D46" s="266">
        <v>25329</v>
      </c>
      <c r="E46" s="268">
        <v>42</v>
      </c>
      <c r="F46" s="267">
        <v>14.5</v>
      </c>
      <c r="G46" s="23">
        <f t="shared" si="0"/>
        <v>42</v>
      </c>
      <c r="H46" s="175">
        <f t="shared" si="1"/>
        <v>14.5</v>
      </c>
      <c r="I46" s="159">
        <f t="shared" si="2"/>
        <v>25329</v>
      </c>
      <c r="J46" s="38">
        <f t="shared" si="3"/>
        <v>1063818</v>
      </c>
      <c r="K46" s="38">
        <f t="shared" si="4"/>
        <v>367270.5</v>
      </c>
      <c r="L46" s="7"/>
      <c r="M46" s="7"/>
    </row>
    <row r="47" spans="1:13" ht="15">
      <c r="A47" s="165"/>
      <c r="B47" s="158"/>
      <c r="C47" s="8" t="s">
        <v>426</v>
      </c>
      <c r="D47" s="266">
        <v>3776</v>
      </c>
      <c r="E47" s="268">
        <v>42</v>
      </c>
      <c r="F47" s="267">
        <v>19.5</v>
      </c>
      <c r="G47" s="23">
        <f t="shared" si="0"/>
        <v>42</v>
      </c>
      <c r="H47" s="175">
        <f t="shared" si="1"/>
        <v>19.5</v>
      </c>
      <c r="I47" s="159">
        <f t="shared" si="2"/>
        <v>3776</v>
      </c>
      <c r="J47" s="38">
        <f t="shared" si="3"/>
        <v>158592</v>
      </c>
      <c r="K47" s="38">
        <f t="shared" si="4"/>
        <v>73632</v>
      </c>
      <c r="L47" s="7"/>
      <c r="M47" s="7"/>
    </row>
    <row r="48" spans="1:13" ht="15">
      <c r="A48" s="165"/>
      <c r="B48" s="158"/>
      <c r="C48" s="8" t="s">
        <v>427</v>
      </c>
      <c r="D48" s="266">
        <v>69680</v>
      </c>
      <c r="E48" s="268">
        <v>48</v>
      </c>
      <c r="F48" s="267">
        <v>0</v>
      </c>
      <c r="G48" s="23">
        <f t="shared" si="0"/>
        <v>48</v>
      </c>
      <c r="H48" s="175">
        <f t="shared" si="1"/>
        <v>0</v>
      </c>
      <c r="I48" s="159">
        <f t="shared" si="2"/>
        <v>69680</v>
      </c>
      <c r="J48" s="38">
        <f t="shared" si="3"/>
        <v>3344640</v>
      </c>
      <c r="K48" s="38">
        <f t="shared" si="4"/>
        <v>0</v>
      </c>
      <c r="L48" s="7"/>
      <c r="M48" s="7"/>
    </row>
    <row r="49" spans="1:13" ht="15">
      <c r="A49" s="165"/>
      <c r="B49" s="158"/>
      <c r="C49" s="8" t="s">
        <v>428</v>
      </c>
      <c r="D49" s="266">
        <v>21046</v>
      </c>
      <c r="E49" s="268">
        <v>48</v>
      </c>
      <c r="F49" s="267">
        <v>4.5</v>
      </c>
      <c r="G49" s="23">
        <f t="shared" si="0"/>
        <v>48</v>
      </c>
      <c r="H49" s="175">
        <f t="shared" si="1"/>
        <v>4.5</v>
      </c>
      <c r="I49" s="159">
        <f t="shared" si="2"/>
        <v>21046</v>
      </c>
      <c r="J49" s="38">
        <f t="shared" si="3"/>
        <v>1010208</v>
      </c>
      <c r="K49" s="38">
        <f t="shared" si="4"/>
        <v>94707</v>
      </c>
      <c r="L49" s="7"/>
      <c r="M49" s="7"/>
    </row>
    <row r="50" spans="1:13" ht="15">
      <c r="A50" s="165"/>
      <c r="B50" s="158"/>
      <c r="C50" s="8" t="s">
        <v>429</v>
      </c>
      <c r="D50" s="266">
        <v>141507</v>
      </c>
      <c r="E50" s="268">
        <v>48</v>
      </c>
      <c r="F50" s="267">
        <v>9.5</v>
      </c>
      <c r="G50" s="23">
        <f t="shared" si="0"/>
        <v>48</v>
      </c>
      <c r="H50" s="175">
        <f t="shared" si="1"/>
        <v>9.5</v>
      </c>
      <c r="I50" s="159">
        <f t="shared" si="2"/>
        <v>141507</v>
      </c>
      <c r="J50" s="38">
        <f t="shared" si="3"/>
        <v>6792336</v>
      </c>
      <c r="K50" s="38">
        <f t="shared" si="4"/>
        <v>1344316.5</v>
      </c>
      <c r="L50" s="7"/>
      <c r="M50" s="7"/>
    </row>
    <row r="51" spans="1:13" ht="15">
      <c r="A51" s="165"/>
      <c r="B51" s="158"/>
      <c r="C51" s="8" t="s">
        <v>430</v>
      </c>
      <c r="D51" s="266">
        <v>46790</v>
      </c>
      <c r="E51" s="268">
        <v>48</v>
      </c>
      <c r="F51" s="267">
        <v>14.5</v>
      </c>
      <c r="G51" s="23">
        <f t="shared" si="0"/>
        <v>48</v>
      </c>
      <c r="H51" s="175">
        <f t="shared" si="1"/>
        <v>14.5</v>
      </c>
      <c r="I51" s="159">
        <f t="shared" si="2"/>
        <v>46790</v>
      </c>
      <c r="J51" s="38">
        <f t="shared" si="3"/>
        <v>2245920</v>
      </c>
      <c r="K51" s="38">
        <f t="shared" si="4"/>
        <v>678455</v>
      </c>
      <c r="L51" s="7"/>
      <c r="M51" s="7"/>
    </row>
    <row r="52" spans="1:13" ht="15">
      <c r="A52" s="165"/>
      <c r="B52" s="158"/>
      <c r="C52" s="8" t="s">
        <v>431</v>
      </c>
      <c r="D52" s="266">
        <v>3776</v>
      </c>
      <c r="E52" s="268">
        <v>48</v>
      </c>
      <c r="F52" s="267">
        <v>19.5</v>
      </c>
      <c r="G52" s="23">
        <f t="shared" si="0"/>
        <v>48</v>
      </c>
      <c r="H52" s="175">
        <f t="shared" si="1"/>
        <v>19.5</v>
      </c>
      <c r="I52" s="159">
        <f t="shared" si="2"/>
        <v>3776</v>
      </c>
      <c r="J52" s="38">
        <f t="shared" si="3"/>
        <v>181248</v>
      </c>
      <c r="K52" s="38">
        <f t="shared" si="4"/>
        <v>73632</v>
      </c>
      <c r="L52" s="7"/>
      <c r="M52" s="7"/>
    </row>
    <row r="53" spans="1:13" ht="15">
      <c r="A53" s="165"/>
      <c r="B53" s="158"/>
      <c r="C53" s="8" t="s">
        <v>432</v>
      </c>
      <c r="D53" s="266">
        <v>21046</v>
      </c>
      <c r="E53" s="268">
        <v>54</v>
      </c>
      <c r="F53" s="267">
        <v>4.5</v>
      </c>
      <c r="G53" s="23">
        <f t="shared" si="0"/>
        <v>54</v>
      </c>
      <c r="H53" s="175">
        <f t="shared" si="1"/>
        <v>4.5</v>
      </c>
      <c r="I53" s="159">
        <f t="shared" si="2"/>
        <v>21046</v>
      </c>
      <c r="J53" s="38">
        <f t="shared" si="3"/>
        <v>1136484</v>
      </c>
      <c r="K53" s="38">
        <f t="shared" si="4"/>
        <v>94707</v>
      </c>
      <c r="L53" s="7"/>
      <c r="M53" s="7"/>
    </row>
    <row r="54" spans="1:13" ht="15">
      <c r="A54" s="165"/>
      <c r="B54" s="158"/>
      <c r="C54" s="8" t="s">
        <v>433</v>
      </c>
      <c r="D54" s="266">
        <v>141507</v>
      </c>
      <c r="E54" s="268">
        <v>54</v>
      </c>
      <c r="F54" s="267">
        <v>9.5</v>
      </c>
      <c r="G54" s="23">
        <f t="shared" si="0"/>
        <v>54</v>
      </c>
      <c r="H54" s="175">
        <f t="shared" si="1"/>
        <v>9.5</v>
      </c>
      <c r="I54" s="159">
        <f t="shared" si="2"/>
        <v>141507</v>
      </c>
      <c r="J54" s="38">
        <f t="shared" si="3"/>
        <v>7641378</v>
      </c>
      <c r="K54" s="38">
        <f t="shared" si="4"/>
        <v>1344316.5</v>
      </c>
      <c r="L54" s="7"/>
      <c r="M54" s="7"/>
    </row>
    <row r="55" spans="1:13" ht="15">
      <c r="A55" s="165"/>
      <c r="B55" s="158"/>
      <c r="C55" s="8" t="s">
        <v>434</v>
      </c>
      <c r="D55" s="266">
        <v>46790</v>
      </c>
      <c r="E55" s="268">
        <v>54</v>
      </c>
      <c r="F55" s="267">
        <v>14.5</v>
      </c>
      <c r="G55" s="23">
        <f t="shared" si="0"/>
        <v>54</v>
      </c>
      <c r="H55" s="175">
        <f t="shared" si="1"/>
        <v>14.5</v>
      </c>
      <c r="I55" s="159">
        <f t="shared" si="2"/>
        <v>46790</v>
      </c>
      <c r="J55" s="38">
        <f t="shared" si="3"/>
        <v>2526660</v>
      </c>
      <c r="K55" s="38">
        <f t="shared" si="4"/>
        <v>678455</v>
      </c>
      <c r="L55" s="7"/>
      <c r="M55" s="7"/>
    </row>
    <row r="56" spans="1:11" ht="15">
      <c r="A56" s="165"/>
      <c r="B56" s="158"/>
      <c r="C56" s="169" t="s">
        <v>88</v>
      </c>
      <c r="D56" s="169"/>
      <c r="E56" s="269"/>
      <c r="F56" s="169"/>
      <c r="G56" s="175">
        <f>MAX(G8:G55)</f>
        <v>54</v>
      </c>
      <c r="H56" s="175">
        <f>MAX(H8:H55)</f>
        <v>19.5</v>
      </c>
      <c r="I56" s="258">
        <f>SUM(I8:I55)</f>
        <v>2254972</v>
      </c>
      <c r="J56" s="258">
        <f>SUM(J8:J55)</f>
        <v>59847132</v>
      </c>
      <c r="K56" s="258">
        <f>SUM(K8:K55)</f>
        <v>15505568.5</v>
      </c>
    </row>
    <row r="57" spans="1:11" ht="15">
      <c r="A57" s="165"/>
      <c r="B57" s="158"/>
      <c r="C57" s="169"/>
      <c r="D57" s="169"/>
      <c r="E57" s="269"/>
      <c r="F57" s="169"/>
      <c r="I57" s="158"/>
      <c r="J57" s="169"/>
      <c r="K57" s="169"/>
    </row>
    <row r="58" spans="1:11" ht="15">
      <c r="A58" s="165"/>
      <c r="B58" s="158"/>
      <c r="C58" s="169" t="s">
        <v>121</v>
      </c>
      <c r="D58" s="169"/>
      <c r="E58" s="269"/>
      <c r="F58" s="169"/>
      <c r="G58" s="174" t="s">
        <v>46</v>
      </c>
      <c r="H58" s="270" t="str">
        <f>J56&amp;" / "&amp;I56</f>
        <v>59847132 / 2254972</v>
      </c>
      <c r="I58" s="174" t="s">
        <v>46</v>
      </c>
      <c r="J58" s="271">
        <f>J56/I56</f>
        <v>26.540077659500874</v>
      </c>
      <c r="K58" s="169" t="s">
        <v>53</v>
      </c>
    </row>
    <row r="59" spans="1:11" ht="15">
      <c r="A59" s="165"/>
      <c r="B59" s="158"/>
      <c r="C59" s="169" t="s">
        <v>47</v>
      </c>
      <c r="D59" s="169"/>
      <c r="E59" s="269"/>
      <c r="F59" s="169"/>
      <c r="G59" s="174" t="s">
        <v>46</v>
      </c>
      <c r="H59" s="270" t="str">
        <f>K56&amp;" / "&amp;I56</f>
        <v>15505568,5 / 2254972</v>
      </c>
      <c r="I59" s="174" t="s">
        <v>46</v>
      </c>
      <c r="J59" s="271">
        <f>K56/I56</f>
        <v>6.8761689723863535</v>
      </c>
      <c r="K59" s="169" t="s">
        <v>53</v>
      </c>
    </row>
    <row r="60" spans="1:11" ht="15">
      <c r="A60" s="165"/>
      <c r="B60" s="158"/>
      <c r="C60" s="169" t="s">
        <v>435</v>
      </c>
      <c r="D60" s="169"/>
      <c r="E60" s="269"/>
      <c r="F60" s="169"/>
      <c r="G60" s="174" t="s">
        <v>46</v>
      </c>
      <c r="H60" s="159" t="str">
        <f>G56&amp;"/2 - "&amp;FIXED(J58,2)</f>
        <v>54/2 - 26,54</v>
      </c>
      <c r="I60" s="174" t="s">
        <v>46</v>
      </c>
      <c r="J60" s="271">
        <f>G56/2-J58</f>
        <v>0.4599223404991264</v>
      </c>
      <c r="K60" s="169" t="s">
        <v>53</v>
      </c>
    </row>
    <row r="61" spans="1:11" ht="15">
      <c r="A61" s="165"/>
      <c r="B61" s="158"/>
      <c r="C61" s="169" t="s">
        <v>436</v>
      </c>
      <c r="D61" s="169"/>
      <c r="E61" s="169"/>
      <c r="F61" s="169"/>
      <c r="G61" s="174" t="s">
        <v>46</v>
      </c>
      <c r="H61" s="159" t="str">
        <f>H56&amp;"/2 - "&amp;FIXED(J59,2)</f>
        <v>19,5/2 - 6,88</v>
      </c>
      <c r="I61" s="174" t="s">
        <v>46</v>
      </c>
      <c r="J61" s="271">
        <f>H56/2-J59</f>
        <v>2.8738310276136465</v>
      </c>
      <c r="K61" s="169" t="s">
        <v>53</v>
      </c>
    </row>
    <row r="62" spans="1:11" ht="15">
      <c r="A62" s="165"/>
      <c r="B62" s="158"/>
      <c r="C62" s="169"/>
      <c r="D62" s="169"/>
      <c r="E62" s="169"/>
      <c r="F62" s="169"/>
      <c r="I62" s="158"/>
      <c r="J62" s="169"/>
      <c r="K62" s="169"/>
    </row>
    <row r="63" spans="1:11" ht="15">
      <c r="A63" s="165"/>
      <c r="B63" s="158"/>
      <c r="C63" s="17" t="s">
        <v>437</v>
      </c>
      <c r="D63" s="169"/>
      <c r="E63" s="169"/>
      <c r="F63" s="169"/>
      <c r="I63" s="158"/>
      <c r="J63" s="169"/>
      <c r="K63" s="169"/>
    </row>
    <row r="64" spans="1:11" ht="15">
      <c r="A64" s="165"/>
      <c r="B64" s="158"/>
      <c r="C64" s="169"/>
      <c r="G64" s="169" t="s">
        <v>438</v>
      </c>
      <c r="H64" s="169" t="s">
        <v>439</v>
      </c>
      <c r="I64" s="269" t="s">
        <v>440</v>
      </c>
      <c r="J64" s="169" t="s">
        <v>441</v>
      </c>
      <c r="K64" s="169" t="s">
        <v>442</v>
      </c>
    </row>
    <row r="65" spans="1:11" ht="15">
      <c r="A65" s="165"/>
      <c r="B65" s="158"/>
      <c r="C65" s="169" t="s">
        <v>300</v>
      </c>
      <c r="D65" s="169"/>
      <c r="E65" s="169"/>
      <c r="F65" s="169"/>
      <c r="G65" s="272">
        <f>6*8</f>
        <v>48</v>
      </c>
      <c r="H65" s="273">
        <f>4.5+5+5+5</f>
        <v>19.5</v>
      </c>
      <c r="I65" s="274">
        <f>G65*H65</f>
        <v>936</v>
      </c>
      <c r="J65" s="174">
        <f>1/12*G65*H65^3</f>
        <v>29659.5</v>
      </c>
      <c r="K65" s="174">
        <f>1/12*H65*G65^3</f>
        <v>179712</v>
      </c>
    </row>
    <row r="66" spans="1:11" ht="15">
      <c r="A66" s="165"/>
      <c r="B66" s="158"/>
      <c r="C66" s="169" t="s">
        <v>443</v>
      </c>
      <c r="D66" s="169"/>
      <c r="E66" s="169"/>
      <c r="F66" s="169"/>
      <c r="G66" s="272">
        <v>6</v>
      </c>
      <c r="H66" s="273">
        <f>5+5</f>
        <v>10</v>
      </c>
      <c r="I66" s="274">
        <f>G66*H66</f>
        <v>60</v>
      </c>
      <c r="J66" s="174">
        <f>1/12*G66*H66^3</f>
        <v>500</v>
      </c>
      <c r="K66" s="174">
        <f>1/12*H66*G66^3</f>
        <v>179.99999999999997</v>
      </c>
    </row>
    <row r="67" spans="1:11" ht="15">
      <c r="A67" s="165"/>
      <c r="B67" s="158"/>
      <c r="C67" s="169"/>
      <c r="D67" s="169"/>
      <c r="E67" s="169"/>
      <c r="F67" s="169"/>
      <c r="I67" s="275">
        <f>SUM(I65:I66)</f>
        <v>996</v>
      </c>
      <c r="J67" s="275">
        <f>SUM(J65:J66)</f>
        <v>30159.5</v>
      </c>
      <c r="K67" s="275">
        <f>SUM(K65:K66)</f>
        <v>179892</v>
      </c>
    </row>
    <row r="68" spans="1:11" ht="15">
      <c r="A68" s="165"/>
      <c r="B68" s="158"/>
      <c r="C68" s="169"/>
      <c r="D68" s="169"/>
      <c r="E68" s="169"/>
      <c r="F68" s="169"/>
      <c r="I68" s="158"/>
      <c r="J68" s="169"/>
      <c r="K68" s="169"/>
    </row>
    <row r="69" spans="1:11" ht="15">
      <c r="A69" s="165"/>
      <c r="B69" s="158"/>
      <c r="C69" s="169" t="s">
        <v>255</v>
      </c>
      <c r="D69" s="169"/>
      <c r="E69" s="169"/>
      <c r="F69" s="169"/>
      <c r="G69" s="174" t="s">
        <v>46</v>
      </c>
      <c r="H69" s="169" t="s">
        <v>444</v>
      </c>
      <c r="I69" s="158"/>
      <c r="J69" s="169"/>
      <c r="K69" s="169"/>
    </row>
    <row r="70" spans="1:11" ht="15">
      <c r="A70" s="165"/>
      <c r="B70" s="158"/>
      <c r="C70" s="169"/>
      <c r="D70" s="169"/>
      <c r="E70" s="169"/>
      <c r="F70" s="169"/>
      <c r="G70" s="174" t="s">
        <v>46</v>
      </c>
      <c r="H70" s="159" t="str">
        <f>"("&amp;I56&amp;"/"&amp;I67&amp;") - ("&amp;I56&amp;"x"&amp;FIXED(J60,2)&amp;"x X)/"&amp;K67&amp;" + ("&amp;I56&amp;"x"&amp;FIXED(J61,2)&amp;"x Y)/"&amp;J67</f>
        <v>(2254972/996) - (2254972x0,46x X)/179892 + (2254972x2,87x Y)/30159,5</v>
      </c>
      <c r="I70" s="158"/>
      <c r="J70" s="169"/>
      <c r="K70" s="169"/>
    </row>
    <row r="71" spans="1:11" ht="15">
      <c r="A71" s="165"/>
      <c r="B71" s="158"/>
      <c r="C71" s="169"/>
      <c r="D71" s="169"/>
      <c r="E71" s="169"/>
      <c r="F71" s="169"/>
      <c r="G71" s="174" t="s">
        <v>46</v>
      </c>
      <c r="H71" s="276" t="str">
        <f>FIXED(I56/I67,0)&amp;" - "&amp;FIXED((I56*J60/K67),2)&amp;"X + "&amp;FIXED(I56*J61/J67)&amp;"Y"</f>
        <v>2.264 - 5,77X + 214,87Y</v>
      </c>
      <c r="I71" s="158"/>
      <c r="J71" s="169"/>
      <c r="K71" s="169"/>
    </row>
    <row r="72" spans="1:11" ht="15">
      <c r="A72" s="165"/>
      <c r="B72" s="158"/>
      <c r="C72" s="169"/>
      <c r="D72" s="169"/>
      <c r="E72" s="169"/>
      <c r="F72" s="169"/>
      <c r="I72" s="158"/>
      <c r="J72" s="169"/>
      <c r="K72" s="169"/>
    </row>
    <row r="73" spans="1:11" ht="15">
      <c r="A73" s="165"/>
      <c r="B73" s="158"/>
      <c r="C73" s="169" t="s">
        <v>445</v>
      </c>
      <c r="D73" s="169"/>
      <c r="E73" s="169"/>
      <c r="F73" s="169"/>
      <c r="G73" s="174" t="s">
        <v>46</v>
      </c>
      <c r="H73" s="276">
        <f>G56/2+(G56/2-J58)</f>
        <v>27.459922340499126</v>
      </c>
      <c r="I73" s="269" t="s">
        <v>53</v>
      </c>
      <c r="J73" s="169"/>
      <c r="K73" s="169"/>
    </row>
    <row r="74" spans="1:11" ht="15">
      <c r="A74" s="165"/>
      <c r="B74" s="158"/>
      <c r="C74" s="169" t="s">
        <v>446</v>
      </c>
      <c r="D74" s="169"/>
      <c r="E74" s="169"/>
      <c r="F74" s="169"/>
      <c r="G74" s="174" t="s">
        <v>46</v>
      </c>
      <c r="H74" s="276">
        <f>H56/2+(H56/2-J59)</f>
        <v>12.623831027613647</v>
      </c>
      <c r="I74" s="269" t="s">
        <v>53</v>
      </c>
      <c r="J74" s="169"/>
      <c r="K74" s="169"/>
    </row>
    <row r="75" spans="1:11" ht="15">
      <c r="A75" s="165"/>
      <c r="B75" s="158"/>
      <c r="C75" s="169"/>
      <c r="D75" s="169"/>
      <c r="E75" s="169"/>
      <c r="F75" s="169"/>
      <c r="I75" s="158"/>
      <c r="J75" s="169"/>
      <c r="K75" s="169"/>
    </row>
    <row r="76" spans="1:11" ht="15">
      <c r="A76" s="165"/>
      <c r="B76" s="158"/>
      <c r="C76" s="169" t="s">
        <v>255</v>
      </c>
      <c r="D76" s="169"/>
      <c r="E76" s="169"/>
      <c r="F76" s="169"/>
      <c r="G76" s="174" t="s">
        <v>46</v>
      </c>
      <c r="H76" s="159" t="str">
        <f>FIXED(I56/I67,0)&amp;" - "&amp;FIXED((I56*J60/K67),2)&amp;"x"&amp;FIXED(H73,2)&amp;" + "&amp;FIXED(I56*J61/J67)&amp;"x"&amp;FIXED(H74,2)</f>
        <v>2.264 - 5,77x27,46 + 214,87x12,62</v>
      </c>
      <c r="I76" s="158"/>
      <c r="J76" s="169"/>
      <c r="K76" s="169"/>
    </row>
    <row r="77" spans="1:11" ht="15">
      <c r="A77" s="165"/>
      <c r="B77" s="158"/>
      <c r="C77" s="169"/>
      <c r="D77" s="169"/>
      <c r="E77" s="169"/>
      <c r="F77" s="169"/>
      <c r="G77" s="174" t="s">
        <v>46</v>
      </c>
      <c r="H77" s="276">
        <f>(I56/I67)-(I56*J60/K67*H73)+(I56*J61/J67*H74)</f>
        <v>4818.214324562321</v>
      </c>
      <c r="I77" s="269" t="s">
        <v>54</v>
      </c>
      <c r="J77" s="169"/>
      <c r="K77" s="169"/>
    </row>
    <row r="78" spans="1:11" ht="15">
      <c r="A78" s="165"/>
      <c r="B78" s="158"/>
      <c r="C78" s="169"/>
      <c r="D78" s="169"/>
      <c r="E78" s="169"/>
      <c r="F78" s="169"/>
      <c r="I78" s="158"/>
      <c r="J78" s="169"/>
      <c r="K78" s="169"/>
    </row>
    <row r="79" ht="12.75">
      <c r="C79" s="17" t="s">
        <v>447</v>
      </c>
    </row>
    <row r="80" ht="12.75">
      <c r="C80" s="169" t="s">
        <v>448</v>
      </c>
    </row>
    <row r="81" spans="3:9" ht="12.75">
      <c r="C81" s="172" t="s">
        <v>49</v>
      </c>
      <c r="G81" s="174" t="s">
        <v>46</v>
      </c>
      <c r="H81" s="257">
        <v>0.5</v>
      </c>
      <c r="I81" s="169" t="s">
        <v>310</v>
      </c>
    </row>
    <row r="82" ht="12.75">
      <c r="C82" s="169"/>
    </row>
    <row r="83" spans="3:8" ht="12.75">
      <c r="C83" s="172" t="s">
        <v>49</v>
      </c>
      <c r="D83" s="169"/>
      <c r="E83" s="169"/>
      <c r="F83" s="169"/>
      <c r="G83" s="174" t="s">
        <v>46</v>
      </c>
      <c r="H83" s="277" t="s">
        <v>449</v>
      </c>
    </row>
    <row r="84" ht="12.75">
      <c r="H84" s="174" t="s">
        <v>450</v>
      </c>
    </row>
    <row r="86" spans="7:8" ht="12.75">
      <c r="G86" s="174" t="s">
        <v>46</v>
      </c>
      <c r="H86" s="278" t="str">
        <f>I56&amp;" + 10%x("&amp;I56&amp;")"</f>
        <v>2254972 + 10%x(2254972)</v>
      </c>
    </row>
    <row r="87" ht="12.75">
      <c r="H87" s="175" t="str">
        <f>I67&amp;"x10000"</f>
        <v>996x10000</v>
      </c>
    </row>
    <row r="88" spans="7:11" ht="12.75">
      <c r="G88" s="174" t="s">
        <v>46</v>
      </c>
      <c r="H88" s="276">
        <f>1.1*I56/(I67*10000)</f>
        <v>0.24904309236947794</v>
      </c>
      <c r="I88" s="169" t="str">
        <f>"kg/cm2  "&amp;IF(H88&lt;H81,"&lt;","&gt;")&amp;"   "&amp;H81&amp;" kg/cm2"</f>
        <v>kg/cm2  &lt;   0,5 kg/cm2</v>
      </c>
      <c r="K88" s="279" t="str">
        <f>IF(H88&lt;H81,"(OK)","(not)")</f>
        <v>(OK)</v>
      </c>
    </row>
    <row r="91" spans="1:14" ht="12.75" hidden="1">
      <c r="A91" s="259"/>
      <c r="B91" s="259"/>
      <c r="C91" s="259"/>
      <c r="D91" s="259"/>
      <c r="E91" s="259"/>
      <c r="F91" s="259"/>
      <c r="G91" s="280" t="s">
        <v>201</v>
      </c>
      <c r="H91" s="259"/>
      <c r="I91" s="259"/>
      <c r="J91" s="280">
        <v>25</v>
      </c>
      <c r="K91" s="280" t="s">
        <v>44</v>
      </c>
      <c r="L91" s="280"/>
      <c r="M91" s="280"/>
      <c r="N91" s="259"/>
    </row>
    <row r="92" spans="7:14" ht="12.75" hidden="1">
      <c r="G92" s="169" t="s">
        <v>107</v>
      </c>
      <c r="J92" s="281">
        <f>MAX(I8:I55)</f>
        <v>156869</v>
      </c>
      <c r="K92" s="169" t="s">
        <v>97</v>
      </c>
      <c r="L92" s="169"/>
      <c r="N92" s="169"/>
    </row>
    <row r="93" spans="7:14" ht="12.75" hidden="1">
      <c r="G93" s="169" t="s">
        <v>205</v>
      </c>
      <c r="J93" s="171">
        <v>60</v>
      </c>
      <c r="K93" s="169" t="s">
        <v>71</v>
      </c>
      <c r="L93" s="169"/>
      <c r="N93" s="169"/>
    </row>
    <row r="94" spans="7:14" ht="12.75" hidden="1">
      <c r="G94" s="169" t="s">
        <v>206</v>
      </c>
      <c r="J94" s="170">
        <v>500</v>
      </c>
      <c r="K94" s="169" t="s">
        <v>71</v>
      </c>
      <c r="L94" s="169"/>
      <c r="N94" s="169"/>
    </row>
    <row r="95" spans="7:11" ht="12.75" hidden="1">
      <c r="G95" s="169" t="s">
        <v>93</v>
      </c>
      <c r="J95" s="171">
        <f>J94-J93</f>
        <v>440</v>
      </c>
      <c r="K95" s="169" t="s">
        <v>71</v>
      </c>
    </row>
    <row r="96" spans="7:10" ht="12.75" hidden="1">
      <c r="G96" s="172" t="s">
        <v>207</v>
      </c>
      <c r="J96" s="170">
        <v>1</v>
      </c>
    </row>
    <row r="97" spans="7:11" ht="15.75" hidden="1">
      <c r="G97" s="169" t="s">
        <v>239</v>
      </c>
      <c r="J97" s="170">
        <v>500</v>
      </c>
      <c r="K97" s="169" t="s">
        <v>71</v>
      </c>
    </row>
    <row r="98" spans="7:12" ht="15.75" hidden="1">
      <c r="G98" s="169" t="s">
        <v>240</v>
      </c>
      <c r="J98" s="170">
        <v>500</v>
      </c>
      <c r="K98" s="169" t="s">
        <v>71</v>
      </c>
      <c r="L98" s="173"/>
    </row>
    <row r="99" spans="7:12" ht="15.75" hidden="1">
      <c r="G99" s="169" t="s">
        <v>241</v>
      </c>
      <c r="J99" s="170">
        <f>J97+2*0.5*J94</f>
        <v>1000</v>
      </c>
      <c r="K99" s="169" t="s">
        <v>71</v>
      </c>
      <c r="L99" s="173"/>
    </row>
    <row r="100" spans="7:12" ht="15.75" hidden="1">
      <c r="G100" s="169" t="s">
        <v>242</v>
      </c>
      <c r="J100" s="170">
        <f>J98+2*0.5*J94</f>
        <v>1000</v>
      </c>
      <c r="K100" s="169" t="s">
        <v>71</v>
      </c>
      <c r="L100" s="169"/>
    </row>
    <row r="101" ht="12.75" hidden="1"/>
    <row r="102" ht="15" hidden="1">
      <c r="G102" s="166" t="s">
        <v>208</v>
      </c>
    </row>
    <row r="103" ht="15" hidden="1">
      <c r="G103" s="166"/>
    </row>
    <row r="104" spans="7:10" ht="12.75" hidden="1">
      <c r="G104" s="169" t="s">
        <v>89</v>
      </c>
      <c r="H104" s="174" t="s">
        <v>46</v>
      </c>
      <c r="I104" s="169" t="s">
        <v>209</v>
      </c>
      <c r="J104" s="175"/>
    </row>
    <row r="105" spans="7:12" ht="12.75" hidden="1">
      <c r="G105" s="169"/>
      <c r="H105" s="174" t="s">
        <v>46</v>
      </c>
      <c r="I105" s="169" t="str">
        <f>"2*("&amp;J99&amp;"+"&amp;J100&amp;")*"&amp;J95</f>
        <v>2*(1000+1000)*440</v>
      </c>
      <c r="J105" s="175" t="s">
        <v>46</v>
      </c>
      <c r="K105" s="159">
        <f>2*(J99+J100)*J95</f>
        <v>1760000</v>
      </c>
      <c r="L105" s="169" t="s">
        <v>76</v>
      </c>
    </row>
    <row r="106" spans="7:12" ht="12.75" hidden="1">
      <c r="G106" s="169"/>
      <c r="H106" s="174"/>
      <c r="I106" s="169"/>
      <c r="J106" s="175"/>
      <c r="L106" s="169"/>
    </row>
    <row r="107" spans="7:9" ht="14.25" hidden="1">
      <c r="G107" s="169" t="s">
        <v>210</v>
      </c>
      <c r="H107" s="174" t="s">
        <v>46</v>
      </c>
      <c r="I107" s="169" t="s">
        <v>243</v>
      </c>
    </row>
    <row r="108" spans="7:9" ht="12.75" hidden="1">
      <c r="G108" s="169"/>
      <c r="H108" s="174" t="s">
        <v>46</v>
      </c>
      <c r="I108" s="169" t="str">
        <f>"(1+2/"&amp;J96&amp;") x ("&amp;J91&amp;"^0.5 /6) x "&amp;K105</f>
        <v>(1+2/1) x (25^0.5 /6) x 1760000</v>
      </c>
    </row>
    <row r="109" spans="7:12" ht="12.75" hidden="1">
      <c r="G109" s="169"/>
      <c r="H109" s="175" t="s">
        <v>46</v>
      </c>
      <c r="I109" s="176">
        <f>(1+2/J96)*(J91^0.5/6)*K105</f>
        <v>4400000</v>
      </c>
      <c r="J109" s="169" t="s">
        <v>211</v>
      </c>
      <c r="K109" s="159">
        <f>I109/10</f>
        <v>440000</v>
      </c>
      <c r="L109" s="169" t="s">
        <v>97</v>
      </c>
    </row>
    <row r="110" spans="7:8" ht="12.75" hidden="1">
      <c r="G110" s="169"/>
      <c r="H110" s="175"/>
    </row>
    <row r="111" spans="7:9" ht="14.25" hidden="1">
      <c r="G111" s="169" t="s">
        <v>212</v>
      </c>
      <c r="H111" s="174" t="s">
        <v>46</v>
      </c>
      <c r="I111" s="169" t="s">
        <v>244</v>
      </c>
    </row>
    <row r="112" spans="7:9" ht="12.75" hidden="1">
      <c r="G112" s="169"/>
      <c r="H112" s="174" t="s">
        <v>46</v>
      </c>
      <c r="I112" s="169" t="str">
        <f>"("&amp;J91&amp;"^0.5 /3) x "&amp;K105</f>
        <v>(25^0.5 /3) x 1760000</v>
      </c>
    </row>
    <row r="113" spans="7:12" ht="12.75" hidden="1">
      <c r="G113" s="169"/>
      <c r="H113" s="175" t="s">
        <v>46</v>
      </c>
      <c r="I113" s="176">
        <f>(J91^0.5/3)*K105</f>
        <v>2933333.3333333335</v>
      </c>
      <c r="J113" s="169" t="s">
        <v>211</v>
      </c>
      <c r="K113" s="159">
        <f>I113/10</f>
        <v>293333.3333333334</v>
      </c>
      <c r="L113" s="169" t="s">
        <v>97</v>
      </c>
    </row>
    <row r="114" spans="7:8" ht="12.75" hidden="1">
      <c r="G114" s="169"/>
      <c r="H114" s="175"/>
    </row>
    <row r="115" spans="7:12" ht="12.75" hidden="1">
      <c r="G115" s="169" t="s">
        <v>213</v>
      </c>
      <c r="H115" s="175"/>
      <c r="J115" s="175" t="s">
        <v>46</v>
      </c>
      <c r="K115" s="159">
        <f>MIN(K113,K109)</f>
        <v>293333.3333333334</v>
      </c>
      <c r="L115" s="169" t="s">
        <v>97</v>
      </c>
    </row>
    <row r="116" spans="7:11" ht="12.75" hidden="1">
      <c r="G116" s="169" t="s">
        <v>214</v>
      </c>
      <c r="I116" s="174" t="s">
        <v>215</v>
      </c>
      <c r="J116" s="174" t="str">
        <f>IF(I117&gt;K117,"&gt;","&lt;")</f>
        <v>&gt;</v>
      </c>
      <c r="K116" s="169" t="s">
        <v>245</v>
      </c>
    </row>
    <row r="117" spans="7:12" ht="12.75" hidden="1">
      <c r="G117" s="169"/>
      <c r="I117" s="177">
        <f>K115</f>
        <v>293333.3333333334</v>
      </c>
      <c r="J117" s="175" t="str">
        <f>IF(I117&gt;K117,"&gt;","&lt;")</f>
        <v>&gt;</v>
      </c>
      <c r="K117" s="159">
        <f>J92/0.6</f>
        <v>261448.33333333334</v>
      </c>
      <c r="L117" s="175" t="str">
        <f>IF(I117&gt;K117,"(ok)","(not)")</f>
        <v>(ok)</v>
      </c>
    </row>
    <row r="118" spans="1:14" ht="13.5" hidden="1" thickBot="1">
      <c r="A118" s="282"/>
      <c r="B118" s="282"/>
      <c r="C118" s="282"/>
      <c r="D118" s="282"/>
      <c r="E118" s="282"/>
      <c r="F118" s="282"/>
      <c r="G118" s="283" t="str">
        <f>"Berarti dimensi pile cap "&amp;IF(I117&gt;K117,"bisa dipakai.","tidak bisa dipakai.")</f>
        <v>Berarti dimensi pile cap bisa dipakai.</v>
      </c>
      <c r="H118" s="282"/>
      <c r="I118" s="284"/>
      <c r="J118" s="285"/>
      <c r="K118" s="282"/>
      <c r="L118" s="285"/>
      <c r="M118" s="282"/>
      <c r="N118" s="282"/>
    </row>
  </sheetData>
  <sheetProtection/>
  <printOptions/>
  <pageMargins left="1.2" right="0.78" top="0.82" bottom="1.53" header="0.79" footer="1.4"/>
  <pageSetup firstPageNumber="28" useFirstPageNumber="1" horizontalDpi="300" verticalDpi="300" orientation="portrait" paperSize="9" scale="80" r:id="rId2"/>
  <headerFooter alignWithMargins="0">
    <oddFooter>&amp;CHAL. A-&amp;P&amp;R&amp;"Arial Narrow,Italic"&amp;8GEDUNG DAKWAH MUHAMMADIYAH
KABUPATEN GRESIK
ALCO - TS/21JAN2008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Soal Pek  Beton 1</dc:title>
  <dc:subject>Soal-soal OK</dc:subject>
  <dc:creator>Teguh Santoso SPd</dc:creator>
  <cp:keywords/>
  <dc:description>Data Perencanaan, Pelat, balok, kolom, pile cap, tangga, pondasi telapak, tiang pancang, konsol pendek </dc:description>
  <cp:lastModifiedBy>rc</cp:lastModifiedBy>
  <cp:lastPrinted>2008-02-27T11:18:21Z</cp:lastPrinted>
  <dcterms:created xsi:type="dcterms:W3CDTF">2008-02-26T16:22:47Z</dcterms:created>
  <dcterms:modified xsi:type="dcterms:W3CDTF">2012-04-11T02:34:15Z</dcterms:modified>
  <cp:category/>
  <cp:version/>
  <cp:contentType/>
  <cp:contentStatus/>
</cp:coreProperties>
</file>