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888" activeTab="0"/>
  </bookViews>
  <sheets>
    <sheet name="Terzaghi" sheetId="1" r:id="rId1"/>
    <sheet name="Meyerhof" sheetId="2" r:id="rId2"/>
    <sheet name="Hansen" sheetId="3" r:id="rId3"/>
    <sheet name="Vesic" sheetId="4" r:id="rId4"/>
  </sheets>
  <definedNames/>
  <calcPr fullCalcOnLoad="1"/>
</workbook>
</file>

<file path=xl/sharedStrings.xml><?xml version="1.0" encoding="utf-8"?>
<sst xmlns="http://schemas.openxmlformats.org/spreadsheetml/2006/main" count="197" uniqueCount="82">
  <si>
    <t>BEARING CAPACITY OF SHALLOW FOUNDATIONS</t>
  </si>
  <si>
    <t>Unit conversion</t>
  </si>
  <si>
    <t>Date</t>
  </si>
  <si>
    <t>Identification</t>
  </si>
  <si>
    <t>Example 6.4</t>
  </si>
  <si>
    <t>Units of Measurement</t>
  </si>
  <si>
    <t>E</t>
  </si>
  <si>
    <t>SI or E</t>
  </si>
  <si>
    <t>Bearing Capacity</t>
  </si>
  <si>
    <t>q ult =</t>
  </si>
  <si>
    <t>Foundation Information</t>
  </si>
  <si>
    <t>q a =</t>
  </si>
  <si>
    <t>Shape</t>
  </si>
  <si>
    <t>SQ, CI, CO, or RE</t>
  </si>
  <si>
    <t>coefficient #1 =</t>
  </si>
  <si>
    <t>B =</t>
  </si>
  <si>
    <t>coefficient #3 =</t>
  </si>
  <si>
    <t>L =</t>
  </si>
  <si>
    <t>D =</t>
  </si>
  <si>
    <t>Soil Information</t>
  </si>
  <si>
    <t>Vesic Computation</t>
  </si>
  <si>
    <t>c =</t>
  </si>
  <si>
    <t>phi =</t>
  </si>
  <si>
    <t>deg</t>
  </si>
  <si>
    <t>gamma =</t>
  </si>
  <si>
    <t>Dw =</t>
  </si>
  <si>
    <t>Factor of Safety</t>
  </si>
  <si>
    <t>F =</t>
  </si>
  <si>
    <t>B/L =</t>
  </si>
  <si>
    <t>k =</t>
  </si>
  <si>
    <t>Meyerhof Computations</t>
  </si>
  <si>
    <t>Kp =</t>
  </si>
  <si>
    <t>D/B =</t>
  </si>
  <si>
    <t>(Vertical Load)</t>
  </si>
  <si>
    <r>
      <t xml:space="preserve">W </t>
    </r>
    <r>
      <rPr>
        <vertAlign val="subscript"/>
        <sz val="10"/>
        <rFont val="Arial"/>
        <family val="2"/>
      </rPr>
      <t>footing</t>
    </r>
  </si>
  <si>
    <t>(Assumed)</t>
  </si>
  <si>
    <t>RE</t>
  </si>
  <si>
    <r>
      <t>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</si>
  <si>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</si>
  <si>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</si>
  <si>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</si>
  <si>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</si>
  <si>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</si>
  <si>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>i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</si>
  <si>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</si>
  <si>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t>Example 4-2</t>
  </si>
  <si>
    <r>
      <t>s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zD'</t>
    </r>
    <r>
      <rPr>
        <sz val="10"/>
        <rFont val="Arial"/>
        <family val="0"/>
      </rPr>
      <t xml:space="preserve"> =</t>
    </r>
  </si>
  <si>
    <r>
      <t>g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</si>
  <si>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g</t>
    </r>
    <r>
      <rPr>
        <sz val="10"/>
        <rFont val="Arial"/>
        <family val="0"/>
      </rPr>
      <t>' =</t>
    </r>
  </si>
  <si>
    <r>
      <t>N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</si>
  <si>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</si>
  <si>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</si>
  <si>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N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</si>
  <si>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0"/>
      </rPr>
      <t>=</t>
    </r>
  </si>
  <si>
    <r>
      <t>d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</si>
  <si>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 xml:space="preserve">N 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</si>
  <si>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 xml:space="preserve"> 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</si>
  <si>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 xml:space="preserve">d 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</si>
  <si>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</si>
  <si>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r>
      <t>g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</si>
  <si>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</si>
  <si>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 xml:space="preserve"> (radians)</t>
    </r>
  </si>
  <si>
    <r>
      <t>g</t>
    </r>
    <r>
      <rPr>
        <sz val="10"/>
        <rFont val="Arial"/>
        <family val="0"/>
      </rPr>
      <t xml:space="preserve"> conc</t>
    </r>
  </si>
  <si>
    <t>Meyerhof  Method</t>
  </si>
  <si>
    <t>Hansen Method</t>
  </si>
  <si>
    <t>Hansen  Computations</t>
  </si>
  <si>
    <t>SQ</t>
  </si>
  <si>
    <t>Terzaghi  Computations</t>
  </si>
  <si>
    <t>Hansen Results</t>
  </si>
  <si>
    <t>Terzaghi  Method</t>
  </si>
  <si>
    <r>
      <t xml:space="preserve">a </t>
    </r>
    <r>
      <rPr>
        <vertAlign val="subscript"/>
        <sz val="10"/>
        <rFont val="Symbol"/>
        <family val="1"/>
      </rPr>
      <t>q</t>
    </r>
    <r>
      <rPr>
        <sz val="10"/>
        <rFont val="Arial"/>
        <family val="0"/>
      </rPr>
      <t xml:space="preserve"> =</t>
    </r>
  </si>
  <si>
    <r>
      <t xml:space="preserve">g </t>
    </r>
    <r>
      <rPr>
        <sz val="10"/>
        <rFont val="Arial"/>
        <family val="0"/>
      </rPr>
      <t>' =</t>
    </r>
  </si>
  <si>
    <r>
      <t>s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zD</t>
    </r>
    <r>
      <rPr>
        <sz val="10"/>
        <rFont val="Arial"/>
        <family val="0"/>
      </rPr>
      <t>' =</t>
    </r>
  </si>
  <si>
    <r>
      <t>g</t>
    </r>
    <r>
      <rPr>
        <vertAlign val="subscript"/>
        <sz val="10"/>
        <rFont val="Arial"/>
        <family val="2"/>
      </rPr>
      <t xml:space="preserve"> w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</si>
  <si>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q</t>
    </r>
    <r>
      <rPr>
        <sz val="10"/>
        <rFont val="Arial"/>
        <family val="0"/>
      </rPr>
      <t xml:space="preserve"> =</t>
    </r>
  </si>
  <si>
    <r>
      <t xml:space="preserve">s </t>
    </r>
    <r>
      <rPr>
        <vertAlign val="subscript"/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</si>
  <si>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 xml:space="preserve">s </t>
    </r>
    <r>
      <rPr>
        <vertAlign val="subscript"/>
        <sz val="10"/>
        <rFont val="Arial"/>
        <family val="2"/>
      </rPr>
      <t>zD</t>
    </r>
    <r>
      <rPr>
        <sz val="10"/>
        <rFont val="Arial"/>
        <family val="0"/>
      </rPr>
      <t>' =</t>
    </r>
  </si>
  <si>
    <t>Meyerhof  Results</t>
  </si>
  <si>
    <t>Terzaghi  Results</t>
  </si>
  <si>
    <t>Vesic  Results</t>
  </si>
  <si>
    <t>INPUT</t>
  </si>
  <si>
    <t>Vesic Method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</si>
</sst>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bscript"/>
      <sz val="10"/>
      <name val="Symbol"/>
      <family val="1"/>
    </font>
    <font>
      <b/>
      <i/>
      <sz val="11"/>
      <name val="Arial"/>
      <family val="2"/>
    </font>
    <font>
      <sz val="10"/>
      <name val="Symbol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0" fontId="0" fillId="33" borderId="0" xfId="0" applyNumberForma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2" fontId="0" fillId="0" borderId="0" xfId="0" applyNumberFormat="1" applyAlignment="1">
      <alignment/>
    </xf>
    <xf numFmtId="3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 applyProtection="1">
      <alignment horizontal="right"/>
      <protection locked="0"/>
    </xf>
    <xf numFmtId="17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0" fillId="34" borderId="0" xfId="0" applyNumberFormat="1" applyFill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3" borderId="0" xfId="0" applyFill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1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3" max="3" width="16.8515625" style="0" customWidth="1"/>
    <col min="6" max="6" width="13.0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69</v>
      </c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2</v>
      </c>
      <c r="B4" s="2"/>
      <c r="C4" s="4">
        <f ca="1">NOW()</f>
        <v>41695.85125914352</v>
      </c>
      <c r="D4" s="2"/>
      <c r="E4" s="2"/>
      <c r="F4" s="2"/>
      <c r="G4" s="2"/>
      <c r="H4" s="2"/>
      <c r="I4" s="2"/>
    </row>
    <row r="5" spans="1:11" ht="12.75">
      <c r="A5" s="2" t="s">
        <v>3</v>
      </c>
      <c r="B5" s="2"/>
      <c r="C5" s="14" t="s">
        <v>4</v>
      </c>
      <c r="D5" s="2"/>
      <c r="E5" s="2"/>
      <c r="F5" s="2"/>
      <c r="G5" s="2"/>
      <c r="H5" s="2"/>
      <c r="I5" s="2"/>
      <c r="K5" s="3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" t="s">
        <v>80</v>
      </c>
      <c r="B7" s="2"/>
      <c r="C7" s="2"/>
      <c r="D7" s="2"/>
      <c r="E7" s="2"/>
      <c r="F7" s="5"/>
      <c r="G7" s="31" t="s">
        <v>78</v>
      </c>
      <c r="H7" s="2"/>
      <c r="I7" s="2"/>
    </row>
    <row r="8" spans="1:9" ht="12.75">
      <c r="A8" s="2"/>
      <c r="B8" s="2" t="s">
        <v>5</v>
      </c>
      <c r="C8" s="2"/>
      <c r="D8" s="2"/>
      <c r="E8" s="2"/>
      <c r="F8" s="2"/>
      <c r="G8" s="2"/>
      <c r="H8" s="6"/>
      <c r="I8" s="6"/>
    </row>
    <row r="9" spans="1:9" ht="12.75">
      <c r="A9" s="2"/>
      <c r="B9" s="2"/>
      <c r="C9" s="13" t="s">
        <v>6</v>
      </c>
      <c r="D9" s="2" t="s">
        <v>7</v>
      </c>
      <c r="E9" s="2"/>
      <c r="F9" s="2"/>
      <c r="G9" s="29" t="s">
        <v>8</v>
      </c>
      <c r="H9" s="5"/>
      <c r="I9" s="5"/>
    </row>
    <row r="10" spans="1:9" ht="12.75">
      <c r="A10" s="2"/>
      <c r="B10" s="2"/>
      <c r="C10" s="2"/>
      <c r="D10" s="2"/>
      <c r="E10" s="2"/>
      <c r="F10" s="2"/>
      <c r="G10" s="23" t="s">
        <v>9</v>
      </c>
      <c r="H10" s="24">
        <f>IF(C12="RE","n/a   ",G34*C18*G30+G36*G31+G35*G33*C13*G32)</f>
        <v>9720.041726260151</v>
      </c>
      <c r="I10" s="5" t="str">
        <f>IF($C$9="SI","kPa","lb/ft^2")</f>
        <v>lb/ft^2</v>
      </c>
    </row>
    <row r="11" spans="1:9" ht="12.75">
      <c r="A11" s="2"/>
      <c r="B11" s="2" t="s">
        <v>10</v>
      </c>
      <c r="C11" s="2"/>
      <c r="D11" s="2"/>
      <c r="E11" s="2"/>
      <c r="F11" s="2"/>
      <c r="G11" s="23" t="s">
        <v>11</v>
      </c>
      <c r="H11" s="24">
        <f>IF(C12="RE","n/a   ",+H10/C24)</f>
        <v>3888.0166905040605</v>
      </c>
      <c r="I11" s="5" t="str">
        <f>IF($C$9="SI","kPa","lb/ft^2")</f>
        <v>lb/ft^2</v>
      </c>
    </row>
    <row r="12" spans="1:9" ht="12.75">
      <c r="A12" s="2"/>
      <c r="B12" s="6" t="s">
        <v>12</v>
      </c>
      <c r="C12" s="13" t="s">
        <v>66</v>
      </c>
      <c r="D12" s="2" t="s">
        <v>13</v>
      </c>
      <c r="E12" s="2"/>
      <c r="F12" s="2"/>
      <c r="G12" s="5"/>
      <c r="H12" s="5"/>
      <c r="I12" s="5"/>
    </row>
    <row r="13" spans="1:9" ht="12.75">
      <c r="A13" s="2"/>
      <c r="B13" s="6" t="s">
        <v>15</v>
      </c>
      <c r="C13" s="15">
        <v>3</v>
      </c>
      <c r="D13" s="2" t="str">
        <f>IF($C$9="SI","m","ft")</f>
        <v>ft</v>
      </c>
      <c r="E13" s="2"/>
      <c r="F13" s="2"/>
      <c r="G13" s="30" t="str">
        <f>IF($C$12="CO","Allowable Wall Load","Allowable Column Load")</f>
        <v>Allowable Column Load</v>
      </c>
      <c r="H13" s="5"/>
      <c r="I13" s="5"/>
    </row>
    <row r="14" spans="1:9" ht="12.75">
      <c r="A14" s="2"/>
      <c r="B14" s="6" t="s">
        <v>17</v>
      </c>
      <c r="C14" s="15"/>
      <c r="D14" s="2" t="str">
        <f>IF($C$9="SI","m","ft")</f>
        <v>ft</v>
      </c>
      <c r="E14" s="2"/>
      <c r="F14" s="2"/>
      <c r="G14" s="23" t="str">
        <f>IF($C$12="CO","P/b =","P =")</f>
        <v>P =</v>
      </c>
      <c r="H14" s="24">
        <f>IF(C12="RE","n/a   ",IF($C$12="SQ",H11*$C$13^2/$D$29,IF($C$12="CI",$H$11*PI()*$C$13^2/4/$D$29,IF($C$12="CO",$H$11*$C$13/$D$29,$H$11*$C$13*$C$14/$D$29))))-D32/D29</f>
        <v>32.29215021453654</v>
      </c>
      <c r="I14" s="5" t="str">
        <f>IF($C$9="SI",IF($C$12="CO","kN/m","kN"),IF($C$12="CO","k/ft","k"))</f>
        <v>k</v>
      </c>
    </row>
    <row r="15" spans="1:9" ht="12.75">
      <c r="A15" s="2"/>
      <c r="B15" s="6" t="s">
        <v>18</v>
      </c>
      <c r="C15" s="15">
        <v>2</v>
      </c>
      <c r="D15" s="2" t="str">
        <f>IF($C$9="SI","m","ft")</f>
        <v>ft</v>
      </c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 t="s">
        <v>19</v>
      </c>
      <c r="C17" s="2"/>
      <c r="D17" s="2"/>
      <c r="E17" s="2"/>
      <c r="F17" s="2"/>
      <c r="G17" s="2"/>
      <c r="H17" s="2"/>
      <c r="I17" s="2"/>
    </row>
    <row r="18" spans="1:9" ht="12.75">
      <c r="A18" s="2"/>
      <c r="B18" s="6" t="s">
        <v>21</v>
      </c>
      <c r="C18" s="15">
        <v>0</v>
      </c>
      <c r="D18" s="2" t="str">
        <f>IF($C$9="SI","kPa","lb/ft^2")</f>
        <v>lb/ft^2</v>
      </c>
      <c r="E18" s="2"/>
      <c r="F18" s="2"/>
      <c r="G18" s="2"/>
      <c r="H18" s="2"/>
      <c r="I18" s="2"/>
    </row>
    <row r="19" spans="1:9" ht="12.75">
      <c r="A19" s="2"/>
      <c r="B19" s="6" t="s">
        <v>22</v>
      </c>
      <c r="C19" s="15">
        <v>31</v>
      </c>
      <c r="D19" s="2" t="s">
        <v>23</v>
      </c>
      <c r="E19" s="2"/>
      <c r="F19" s="2"/>
      <c r="G19" s="2"/>
      <c r="H19" s="2"/>
      <c r="I19" s="2"/>
    </row>
    <row r="20" spans="1:9" ht="12.75">
      <c r="A20" s="2"/>
      <c r="B20" s="6" t="s">
        <v>24</v>
      </c>
      <c r="C20" s="15">
        <v>123</v>
      </c>
      <c r="D20" s="2" t="str">
        <f>IF($C$9="SI","kN/m^3","lb/ft^3")</f>
        <v>lb/ft^3</v>
      </c>
      <c r="E20" s="2"/>
      <c r="F20" s="2"/>
      <c r="G20" s="2"/>
      <c r="H20" s="2"/>
      <c r="I20" s="2"/>
    </row>
    <row r="21" spans="1:9" ht="12.75">
      <c r="A21" s="2"/>
      <c r="B21" s="6" t="s">
        <v>25</v>
      </c>
      <c r="C21" s="15">
        <v>10</v>
      </c>
      <c r="D21" s="2" t="str">
        <f>IF($C$9="SI","m","ft")</f>
        <v>ft</v>
      </c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 t="s">
        <v>26</v>
      </c>
      <c r="C23" s="2"/>
      <c r="D23" s="2"/>
      <c r="E23" s="2"/>
      <c r="F23" s="2"/>
      <c r="G23" s="2"/>
      <c r="H23" s="2"/>
      <c r="I23" s="2"/>
    </row>
    <row r="24" spans="1:9" ht="12.75">
      <c r="A24" s="2"/>
      <c r="B24" s="6" t="s">
        <v>27</v>
      </c>
      <c r="C24" s="15">
        <v>2.5</v>
      </c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7" spans="2:11" ht="15">
      <c r="B27" s="28" t="s">
        <v>67</v>
      </c>
      <c r="K27" s="26"/>
    </row>
    <row r="29" spans="3:7" ht="14.25">
      <c r="C29" t="s">
        <v>1</v>
      </c>
      <c r="D29" s="3">
        <f>IF($C$9="SI",1,1000)</f>
        <v>1000</v>
      </c>
      <c r="F29" t="s">
        <v>70</v>
      </c>
      <c r="G29">
        <f>EXP(PI()*(0.75-C19/360)*TAN(D31))</f>
        <v>3.5015160772618006</v>
      </c>
    </row>
    <row r="30" spans="3:7" ht="15">
      <c r="C30" s="26" t="s">
        <v>47</v>
      </c>
      <c r="D30" s="3">
        <f>IF($C$9="SI",9.8,62.4)</f>
        <v>62.4</v>
      </c>
      <c r="F30" t="s">
        <v>49</v>
      </c>
      <c r="G30" s="7">
        <f>IF(C19=0,5.7,(G31-1)/TAN(D31))</f>
        <v>40.411373599698784</v>
      </c>
    </row>
    <row r="31" spans="3:7" ht="15">
      <c r="C31" s="26" t="s">
        <v>61</v>
      </c>
      <c r="D31">
        <f>C19*PI()/180</f>
        <v>0.5410520681182421</v>
      </c>
      <c r="F31" t="s">
        <v>52</v>
      </c>
      <c r="G31" s="7">
        <f>G29^2/(2*(COS(PI()/4+D31/2))^2)</f>
        <v>25.281602956869023</v>
      </c>
    </row>
    <row r="32" spans="3:7" ht="15">
      <c r="C32" t="s">
        <v>34</v>
      </c>
      <c r="D32" s="12">
        <f>IF(C12="SQ",C13^2*C15*D33,IF(C12="CI",PI()*C13^2/4*C15*D33,IF(C12="CO",C13*C15*D33,C13*C14*C15*D33)))</f>
        <v>2700</v>
      </c>
      <c r="F32" t="s">
        <v>55</v>
      </c>
      <c r="G32" s="7">
        <f>2*(G31+1)*TAN(D31)/(1+0.4*SIN(4*D31))</f>
        <v>23.717936306709834</v>
      </c>
    </row>
    <row r="33" spans="3:7" ht="12.75">
      <c r="C33" s="26" t="s">
        <v>62</v>
      </c>
      <c r="D33">
        <f>IF(C9="SI",23.6,150)</f>
        <v>150</v>
      </c>
      <c r="F33" s="26" t="s">
        <v>71</v>
      </c>
      <c r="G33">
        <f>IF(C21&lt;=C15,C20-D30,IF(C15+C13&lt;=C21,C20,C20-D30*(1-((C21-C15)/C13))))</f>
        <v>123</v>
      </c>
    </row>
    <row r="34" spans="6:7" ht="12.75">
      <c r="F34" t="s">
        <v>14</v>
      </c>
      <c r="G34" s="3">
        <f>IF($C$12="SQ",1.3,IF($C$12="CO",1,IF($C$12="CI",1.3,0)))</f>
        <v>1.3</v>
      </c>
    </row>
    <row r="35" spans="6:7" ht="12.75">
      <c r="F35" t="s">
        <v>16</v>
      </c>
      <c r="G35" s="3">
        <f>IF($C$12="SQ",0.4,IF($C$12="CO",0.5,IF($C$12="CI",0.3,0)))</f>
        <v>0.4</v>
      </c>
    </row>
    <row r="36" spans="6:7" ht="15">
      <c r="F36" s="26" t="s">
        <v>72</v>
      </c>
      <c r="G36">
        <f>IF(C21&gt;C15,C20*C15,C20*C15-D30*(C15-C21))</f>
        <v>246</v>
      </c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2" width="8.8515625" style="0" customWidth="1"/>
    <col min="3" max="3" width="17.8515625" style="0" customWidth="1"/>
    <col min="4" max="4" width="8.00390625" style="0" customWidth="1"/>
    <col min="5" max="8" width="8.8515625" style="0" customWidth="1"/>
    <col min="9" max="9" width="7.140625" style="0" customWidth="1"/>
    <col min="10" max="10" width="8.8515625" style="0" customWidth="1"/>
    <col min="11" max="11" width="8.281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63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/>
      <c r="C4" s="4">
        <f ca="1">NOW()</f>
        <v>41695.85125914352</v>
      </c>
      <c r="D4" s="2"/>
      <c r="E4" s="2"/>
      <c r="F4" s="2"/>
      <c r="G4" s="2"/>
      <c r="H4" s="2"/>
      <c r="I4" s="2"/>
      <c r="J4" s="2"/>
    </row>
    <row r="5" spans="1:10" ht="12.75">
      <c r="A5" s="2" t="s">
        <v>3</v>
      </c>
      <c r="B5" s="2"/>
      <c r="C5" s="14" t="s">
        <v>45</v>
      </c>
      <c r="D5" s="2"/>
      <c r="E5" s="2"/>
      <c r="F5" s="2"/>
      <c r="G5" s="2"/>
      <c r="H5" s="2"/>
      <c r="I5" s="2"/>
      <c r="J5" s="2"/>
    </row>
    <row r="6" spans="1:10" ht="15">
      <c r="A6" s="1" t="s">
        <v>80</v>
      </c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5" t="s">
        <v>5</v>
      </c>
      <c r="C7" s="2"/>
      <c r="D7" s="2"/>
      <c r="E7" s="2"/>
      <c r="F7" s="2"/>
      <c r="G7" s="32" t="s">
        <v>77</v>
      </c>
      <c r="H7" s="2"/>
      <c r="I7" s="6"/>
      <c r="J7" s="2"/>
    </row>
    <row r="8" spans="1:10" ht="12.75">
      <c r="A8" s="2"/>
      <c r="B8" s="2"/>
      <c r="C8" s="2"/>
      <c r="D8" s="2"/>
      <c r="E8" s="2"/>
      <c r="F8" s="2"/>
      <c r="G8" s="17" t="s">
        <v>33</v>
      </c>
      <c r="H8" s="2"/>
      <c r="I8" s="6"/>
      <c r="J8" s="2"/>
    </row>
    <row r="9" spans="1:10" ht="12.75">
      <c r="A9" s="2"/>
      <c r="B9" s="2"/>
      <c r="C9" s="13" t="s">
        <v>6</v>
      </c>
      <c r="D9" s="2" t="s">
        <v>7</v>
      </c>
      <c r="E9" s="2"/>
      <c r="F9" s="2"/>
      <c r="G9" s="2"/>
      <c r="H9" s="2"/>
      <c r="I9" s="2"/>
      <c r="J9" s="2"/>
    </row>
    <row r="10" spans="1:10" ht="12.75">
      <c r="A10" s="2"/>
      <c r="B10" s="2"/>
      <c r="C10" s="19"/>
      <c r="D10" s="2"/>
      <c r="E10" s="2"/>
      <c r="F10" s="2"/>
      <c r="G10" s="2"/>
      <c r="H10" s="2"/>
      <c r="I10" s="2"/>
      <c r="J10" s="2"/>
    </row>
    <row r="11" spans="1:10" ht="13.5">
      <c r="A11" s="2"/>
      <c r="B11" s="2"/>
      <c r="C11" s="19"/>
      <c r="D11" s="2"/>
      <c r="E11" s="2"/>
      <c r="F11" s="2"/>
      <c r="G11" s="21" t="s">
        <v>8</v>
      </c>
      <c r="H11" s="2"/>
      <c r="I11" s="2"/>
      <c r="J11" s="2"/>
    </row>
    <row r="12" spans="1:10" ht="12.75">
      <c r="A12" s="2"/>
      <c r="B12" s="5" t="s">
        <v>10</v>
      </c>
      <c r="C12" s="2"/>
      <c r="D12" s="2"/>
      <c r="E12" s="2"/>
      <c r="F12" s="2"/>
      <c r="G12" s="23" t="s">
        <v>9</v>
      </c>
      <c r="H12" s="24">
        <f>C19*G29*G30*G31+G42*G32*G33*G34+0.5*G38*C14*G35*G36*G37</f>
        <v>11642.498959022807</v>
      </c>
      <c r="I12" s="5" t="str">
        <f>IF($C$9="SI","kPa","lb/ft^2")</f>
        <v>lb/ft^2</v>
      </c>
      <c r="J12" s="2"/>
    </row>
    <row r="13" spans="1:10" ht="12.75">
      <c r="A13" s="2"/>
      <c r="B13" s="6" t="s">
        <v>12</v>
      </c>
      <c r="C13" s="13" t="s">
        <v>36</v>
      </c>
      <c r="D13" s="2" t="s">
        <v>13</v>
      </c>
      <c r="E13" s="2"/>
      <c r="F13" s="2"/>
      <c r="G13" s="23" t="s">
        <v>11</v>
      </c>
      <c r="H13" s="24">
        <f>(H12/C25)</f>
        <v>3880.832986340936</v>
      </c>
      <c r="I13" s="5" t="str">
        <f>IF($C$9="SI","kPa","lb/ft^2")</f>
        <v>lb/ft^2</v>
      </c>
      <c r="J13" s="2"/>
    </row>
    <row r="14" spans="1:10" ht="12.75">
      <c r="A14" s="2"/>
      <c r="B14" s="6" t="s">
        <v>15</v>
      </c>
      <c r="C14" s="15">
        <v>3</v>
      </c>
      <c r="D14" s="2" t="str">
        <f>IF($C$9="SI","m","ft")</f>
        <v>ft</v>
      </c>
      <c r="E14" s="2"/>
      <c r="F14" s="2"/>
      <c r="G14" s="2"/>
      <c r="H14" s="2"/>
      <c r="I14" s="2"/>
      <c r="J14" s="2"/>
    </row>
    <row r="15" spans="1:10" ht="13.5">
      <c r="A15" s="2"/>
      <c r="B15" s="6" t="s">
        <v>17</v>
      </c>
      <c r="C15" s="16">
        <v>4.16</v>
      </c>
      <c r="D15" s="2" t="str">
        <f>IF($C$9="SI","m","ft")</f>
        <v>ft</v>
      </c>
      <c r="E15" s="2"/>
      <c r="F15" s="2"/>
      <c r="G15" s="22" t="str">
        <f>IF($C$13="CO","Allowable Wall Load","Allowable Column Load")</f>
        <v>Allowable Column Load</v>
      </c>
      <c r="H15" s="2"/>
      <c r="I15" s="2"/>
      <c r="J15" s="2"/>
    </row>
    <row r="16" spans="1:10" ht="12.75">
      <c r="A16" s="2"/>
      <c r="B16" s="6" t="s">
        <v>18</v>
      </c>
      <c r="C16" s="15">
        <v>2</v>
      </c>
      <c r="D16" s="2" t="str">
        <f>IF($C$9="SI","m","ft")</f>
        <v>ft</v>
      </c>
      <c r="E16" s="2"/>
      <c r="F16" s="2"/>
      <c r="G16" s="23" t="str">
        <f>IF($C$13="CO","P/b =","P =")</f>
        <v>P =</v>
      </c>
      <c r="H16" s="8">
        <f>IF($C$13="SQ",H13*$C$14^2/$D$29,IF($C$13="CI",$H$13*PI()*$C$14^2/4/$D$29,IF($C$12="CO",$H$13*$C$14/$D$29,$H$13*$C$14*$C$15/$D$29)))-D32/D29</f>
        <v>44.688795669534876</v>
      </c>
      <c r="I16" s="5" t="str">
        <f>IF($C$9="SI",IF($C$13="CO","kN/m","kN"),IF($C$13="CO","k/ft","k"))</f>
        <v>k</v>
      </c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5" t="s">
        <v>19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6" t="s">
        <v>21</v>
      </c>
      <c r="C19" s="15">
        <v>0</v>
      </c>
      <c r="D19" s="2" t="str">
        <f>IF($C$9="SI","kPa","lb/ft^2")</f>
        <v>lb/ft^2</v>
      </c>
      <c r="E19" s="2"/>
      <c r="F19" s="2"/>
      <c r="G19" s="2"/>
      <c r="H19" s="2"/>
      <c r="I19" s="2"/>
      <c r="J19" s="2"/>
    </row>
    <row r="20" spans="1:10" ht="12.75">
      <c r="A20" s="2"/>
      <c r="B20" s="27" t="s">
        <v>60</v>
      </c>
      <c r="C20" s="15">
        <v>31</v>
      </c>
      <c r="D20" s="2" t="s">
        <v>23</v>
      </c>
      <c r="E20" s="2"/>
      <c r="F20" s="2"/>
      <c r="G20" s="2"/>
      <c r="H20" s="2"/>
      <c r="I20" s="2"/>
      <c r="J20" s="2"/>
    </row>
    <row r="21" spans="1:10" ht="12.75">
      <c r="A21" s="2"/>
      <c r="B21" s="27" t="s">
        <v>59</v>
      </c>
      <c r="C21" s="15">
        <v>123</v>
      </c>
      <c r="D21" s="2" t="str">
        <f>IF($C$9="SI","kN/m^3","lb/ft^3")</f>
        <v>lb/ft^3</v>
      </c>
      <c r="E21" s="2"/>
      <c r="F21" s="2"/>
      <c r="G21" s="2"/>
      <c r="H21" s="2"/>
      <c r="I21" s="2"/>
      <c r="J21" s="2"/>
    </row>
    <row r="22" spans="1:10" ht="12.75">
      <c r="A22" s="2"/>
      <c r="B22" s="6" t="s">
        <v>25</v>
      </c>
      <c r="C22" s="15">
        <v>10</v>
      </c>
      <c r="D22" s="2" t="str">
        <f>IF($C$9="SI","m","ft")</f>
        <v>ft</v>
      </c>
      <c r="E22" s="18" t="s">
        <v>35</v>
      </c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5" t="s">
        <v>26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6" t="s">
        <v>27</v>
      </c>
      <c r="C25" s="15">
        <v>3</v>
      </c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ht="15">
      <c r="B27" s="28" t="s">
        <v>30</v>
      </c>
    </row>
    <row r="29" spans="3:7" ht="15">
      <c r="C29" t="s">
        <v>1</v>
      </c>
      <c r="D29" s="3">
        <f>IF($C$9="SI",1,1000)</f>
        <v>1000</v>
      </c>
      <c r="F29" t="s">
        <v>49</v>
      </c>
      <c r="G29" s="7">
        <f>IF(C20=0,5.14,(G32-1)/TAN(D31))</f>
        <v>32.67112627835943</v>
      </c>
    </row>
    <row r="30" spans="3:7" ht="15">
      <c r="C30" s="26" t="s">
        <v>47</v>
      </c>
      <c r="D30" s="3">
        <f>IF($C$9="SI",9.8,62.4)</f>
        <v>62.4</v>
      </c>
      <c r="F30" t="s">
        <v>50</v>
      </c>
      <c r="G30" s="7">
        <f>1+0.2*G39*G40</f>
        <v>1.4505819852097728</v>
      </c>
    </row>
    <row r="31" spans="3:7" ht="15">
      <c r="C31" s="26" t="s">
        <v>61</v>
      </c>
      <c r="D31">
        <f>C20*PI()/180</f>
        <v>0.5410520681182421</v>
      </c>
      <c r="F31" t="s">
        <v>51</v>
      </c>
      <c r="G31" s="7">
        <f>1+0.2*SQRT(G39)*G41</f>
        <v>1.2356658688323854</v>
      </c>
    </row>
    <row r="32" spans="3:7" ht="15">
      <c r="C32" t="s">
        <v>34</v>
      </c>
      <c r="D32" s="12">
        <f>IF(C13="SQ",C14^2*C13*D33,IF(C12="CI",PI()*C14^2/4*C16*D33,IF(C12="CO",C14*C16*D33,C14*C15*C16*D33)))</f>
        <v>3744</v>
      </c>
      <c r="F32" t="s">
        <v>52</v>
      </c>
      <c r="G32" s="11">
        <f>EXP(PI()*TAN(D31))*(TAN(PI()/4+D31/2))^2</f>
        <v>20.63079315994264</v>
      </c>
    </row>
    <row r="33" spans="3:7" ht="15">
      <c r="C33" s="26" t="s">
        <v>62</v>
      </c>
      <c r="D33">
        <f>IF(C9="SI",23.6,150)</f>
        <v>150</v>
      </c>
      <c r="F33" t="s">
        <v>53</v>
      </c>
      <c r="G33" s="11">
        <f>IF(C20&lt;=10,1,1+0.1*G39*G40)</f>
        <v>1.2252909926048865</v>
      </c>
    </row>
    <row r="34" spans="6:7" ht="15">
      <c r="F34" t="s">
        <v>54</v>
      </c>
      <c r="G34" s="11">
        <f>IF(C20&lt;=10,1,1+0.1*SQRT(G39)*G41)</f>
        <v>1.1178329344161928</v>
      </c>
    </row>
    <row r="35" spans="6:7" ht="14.25">
      <c r="F35" t="s">
        <v>55</v>
      </c>
      <c r="G35" s="7">
        <f>(G32-1)*TAN(1.4*D31)</f>
        <v>18.563918267831117</v>
      </c>
    </row>
    <row r="36" spans="6:7" ht="15">
      <c r="F36" t="s">
        <v>56</v>
      </c>
      <c r="G36" s="7">
        <f>IF(C20=0,1,1+0.1*G39*G40)</f>
        <v>1.2252909926048865</v>
      </c>
    </row>
    <row r="37" spans="6:7" ht="14.25">
      <c r="F37" t="s">
        <v>57</v>
      </c>
      <c r="G37" s="7">
        <f>IF(C20=0,1,1+0.1*SQRT(G39)*G41)</f>
        <v>1.1178329344161928</v>
      </c>
    </row>
    <row r="38" spans="6:7" ht="12.75">
      <c r="F38" s="26" t="s">
        <v>48</v>
      </c>
      <c r="G38">
        <f>IF(C22&lt;=C16,C21-D30,IF(C16+C14&lt;=C22,C21,C21-D30*(1-((C22-C16)/C14))))</f>
        <v>123</v>
      </c>
    </row>
    <row r="39" spans="6:7" ht="12.75">
      <c r="F39" t="s">
        <v>31</v>
      </c>
      <c r="G39">
        <f>TAN(PI()/4+D31/2)^2</f>
        <v>3.1240350974544246</v>
      </c>
    </row>
    <row r="40" spans="6:7" ht="12.75">
      <c r="F40" t="s">
        <v>28</v>
      </c>
      <c r="G40">
        <f>C14/C15</f>
        <v>0.7211538461538461</v>
      </c>
    </row>
    <row r="41" spans="6:7" ht="12.75">
      <c r="F41" t="s">
        <v>32</v>
      </c>
      <c r="G41">
        <f>C16/C14</f>
        <v>0.6666666666666666</v>
      </c>
    </row>
    <row r="42" spans="6:7" ht="15">
      <c r="F42" s="26" t="s">
        <v>46</v>
      </c>
      <c r="G42">
        <f>IF(C22&gt;C16,C21*C16,C21*C16-D30*(C16-C22))</f>
        <v>246</v>
      </c>
    </row>
  </sheetData>
  <sheetProtection/>
  <printOptions/>
  <pageMargins left="0.5" right="0.25" top="0.5" bottom="0.5" header="0.5" footer="0.5"/>
  <pageSetup horizontalDpi="600" verticalDpi="600" orientation="portrait" r:id="rId1"/>
  <headerFooter alignWithMargins="0">
    <oddHeader>&amp;R&amp;"Arial,Italic"&amp;8Shome S Dey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2" width="8.8515625" style="0" customWidth="1"/>
    <col min="3" max="3" width="17.57421875" style="0" customWidth="1"/>
    <col min="4" max="4" width="8.00390625" style="0" customWidth="1"/>
    <col min="5" max="7" width="8.8515625" style="0" customWidth="1"/>
    <col min="8" max="8" width="8.140625" style="0" customWidth="1"/>
    <col min="9" max="10" width="8.8515625" style="0" customWidth="1"/>
    <col min="11" max="11" width="8.281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/>
      <c r="C4" s="4">
        <f ca="1">NOW()</f>
        <v>41695.85125914352</v>
      </c>
      <c r="D4" s="2"/>
      <c r="E4" s="2"/>
      <c r="F4" s="2"/>
      <c r="G4" s="2"/>
      <c r="H4" s="2"/>
      <c r="I4" s="2"/>
      <c r="J4" s="2"/>
    </row>
    <row r="5" spans="1:10" ht="12.75">
      <c r="A5" s="2" t="s">
        <v>3</v>
      </c>
      <c r="B5" s="2"/>
      <c r="C5" s="14" t="s">
        <v>45</v>
      </c>
      <c r="D5" s="2"/>
      <c r="E5" s="2"/>
      <c r="F5" s="2"/>
      <c r="G5" s="2"/>
      <c r="H5" s="2"/>
      <c r="I5" s="2"/>
      <c r="J5" s="2"/>
    </row>
    <row r="6" spans="1:10" ht="15">
      <c r="A6" s="1" t="s">
        <v>80</v>
      </c>
      <c r="B6" s="2"/>
      <c r="C6" s="2"/>
      <c r="D6" s="2"/>
      <c r="E6" s="2"/>
      <c r="F6" s="2"/>
      <c r="G6" s="2"/>
      <c r="H6" s="2"/>
      <c r="I6" s="2"/>
      <c r="J6" s="2"/>
    </row>
    <row r="7" spans="1:10" ht="17.25" customHeight="1">
      <c r="A7" s="2"/>
      <c r="B7" s="5" t="s">
        <v>5</v>
      </c>
      <c r="C7" s="2"/>
      <c r="D7" s="2"/>
      <c r="E7" s="2"/>
      <c r="F7" s="2"/>
      <c r="G7" s="32" t="s">
        <v>68</v>
      </c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6"/>
      <c r="I8" s="2"/>
      <c r="J8" s="2"/>
    </row>
    <row r="9" spans="1:10" ht="12.75">
      <c r="A9" s="2"/>
      <c r="B9" s="2"/>
      <c r="C9" s="13" t="s">
        <v>6</v>
      </c>
      <c r="D9" s="2" t="s">
        <v>7</v>
      </c>
      <c r="E9" s="2"/>
      <c r="F9" s="2"/>
      <c r="G9" s="2"/>
      <c r="H9" s="2"/>
      <c r="I9" s="2"/>
      <c r="J9" s="2"/>
    </row>
    <row r="10" spans="1:10" ht="12.75">
      <c r="A10" s="2"/>
      <c r="B10" s="2"/>
      <c r="C10" s="19"/>
      <c r="D10" s="2"/>
      <c r="E10" s="2"/>
      <c r="F10" s="2"/>
      <c r="G10" s="2"/>
      <c r="H10" s="2"/>
      <c r="I10" s="2"/>
      <c r="J10" s="2"/>
    </row>
    <row r="11" spans="1:10" ht="13.5">
      <c r="A11" s="2"/>
      <c r="B11" s="2"/>
      <c r="C11" s="19"/>
      <c r="D11" s="2"/>
      <c r="E11" s="2"/>
      <c r="F11" s="2"/>
      <c r="G11" s="21" t="s">
        <v>8</v>
      </c>
      <c r="H11" s="2"/>
      <c r="I11" s="2"/>
      <c r="J11" s="2"/>
    </row>
    <row r="12" spans="1:10" ht="12.75">
      <c r="A12" s="2"/>
      <c r="B12" s="5" t="s">
        <v>10</v>
      </c>
      <c r="C12" s="2"/>
      <c r="D12" s="2"/>
      <c r="E12" s="2"/>
      <c r="F12" s="2"/>
      <c r="G12" s="23" t="s">
        <v>9</v>
      </c>
      <c r="H12" s="25">
        <f>C19*G28*G29*G30*G40*G41*G42+G50*G31*G32*G33*G43*G44*G45+0.5*G49*C14*G34*G35*G36*G46*G47*G48</f>
        <v>10594.373355701624</v>
      </c>
      <c r="I12" s="5" t="str">
        <f>IF($C$9="SI","kPa","lb/ft^2")</f>
        <v>lb/ft^2</v>
      </c>
      <c r="J12" s="2"/>
    </row>
    <row r="13" spans="1:10" ht="12.75">
      <c r="A13" s="2"/>
      <c r="B13" s="6" t="s">
        <v>12</v>
      </c>
      <c r="C13" s="13" t="s">
        <v>36</v>
      </c>
      <c r="D13" s="2" t="s">
        <v>13</v>
      </c>
      <c r="E13" s="2"/>
      <c r="F13" s="2"/>
      <c r="G13" s="23" t="s">
        <v>11</v>
      </c>
      <c r="H13" s="25">
        <f>+H12/C25</f>
        <v>3531.457785233875</v>
      </c>
      <c r="I13" s="5" t="str">
        <f>IF($C$9="SI","kPa","lb/ft^2")</f>
        <v>lb/ft^2</v>
      </c>
      <c r="J13" s="2"/>
    </row>
    <row r="14" spans="1:10" ht="12.75">
      <c r="A14" s="2"/>
      <c r="B14" s="6" t="s">
        <v>15</v>
      </c>
      <c r="C14" s="15">
        <v>3</v>
      </c>
      <c r="D14" s="2" t="str">
        <f>IF($C$9="SI","m","ft")</f>
        <v>ft</v>
      </c>
      <c r="E14" s="2"/>
      <c r="F14" s="2"/>
      <c r="G14" s="2"/>
      <c r="H14" s="2"/>
      <c r="I14" s="2"/>
      <c r="J14" s="2"/>
    </row>
    <row r="15" spans="1:10" ht="13.5">
      <c r="A15" s="2"/>
      <c r="B15" s="6" t="s">
        <v>17</v>
      </c>
      <c r="C15" s="16">
        <v>4.16</v>
      </c>
      <c r="D15" s="2" t="str">
        <f>IF($C$9="SI","m","ft")</f>
        <v>ft</v>
      </c>
      <c r="E15" s="2"/>
      <c r="F15" s="2"/>
      <c r="G15" s="22" t="str">
        <f>IF($C$13="CO","Allowable Wall Load","Allowable Column Load")</f>
        <v>Allowable Column Load</v>
      </c>
      <c r="H15" s="2"/>
      <c r="I15" s="2"/>
      <c r="J15" s="2"/>
    </row>
    <row r="16" spans="1:10" ht="12.75">
      <c r="A16" s="2"/>
      <c r="B16" s="6" t="s">
        <v>18</v>
      </c>
      <c r="C16" s="15">
        <v>2</v>
      </c>
      <c r="D16" s="2" t="str">
        <f>IF($C$9="SI","m","ft")</f>
        <v>ft</v>
      </c>
      <c r="E16" s="2"/>
      <c r="F16" s="2"/>
      <c r="G16" s="23" t="str">
        <f>IF($C$13="CO","P/b =","P =")</f>
        <v>P =</v>
      </c>
      <c r="H16" s="8">
        <f>IF($C$13="SQ",H13*$C$14^2/$D$28,IF($C$13="CI",$H$13*PI()*$C$14^2/4/$D$28,IF($C$12="CO",$H$13*$C$14/$D$28,$H$13*$C$14*$C$15/$D$28)))-D31/D28</f>
        <v>40.32859315971876</v>
      </c>
      <c r="I16" s="5" t="str">
        <f>IF($C$9="SI",IF($C$13="CO","kN/m","kN"),IF($C$13="CO","k/ft","k"))</f>
        <v>k</v>
      </c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5" t="s">
        <v>19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6" t="s">
        <v>21</v>
      </c>
      <c r="C19" s="15">
        <v>0</v>
      </c>
      <c r="D19" s="2" t="str">
        <f>IF($C$9="SI","kPa","lb/ft^2")</f>
        <v>lb/ft^2</v>
      </c>
      <c r="E19" s="2"/>
      <c r="F19" s="2"/>
      <c r="G19" s="2"/>
      <c r="H19" s="2"/>
      <c r="I19" s="2"/>
      <c r="J19" s="2"/>
    </row>
    <row r="20" spans="1:10" ht="12.75">
      <c r="A20" s="2"/>
      <c r="B20" s="27" t="s">
        <v>60</v>
      </c>
      <c r="C20" s="15">
        <v>31</v>
      </c>
      <c r="D20" s="2" t="s">
        <v>23</v>
      </c>
      <c r="E20" s="2"/>
      <c r="F20" s="2"/>
      <c r="G20" s="2"/>
      <c r="H20" s="2"/>
      <c r="I20" s="2"/>
      <c r="J20" s="2"/>
    </row>
    <row r="21" spans="1:10" ht="12.75">
      <c r="A21" s="2"/>
      <c r="B21" s="27" t="s">
        <v>59</v>
      </c>
      <c r="C21" s="15">
        <v>123</v>
      </c>
      <c r="D21" s="2" t="str">
        <f>IF($C$9="SI","kN/m^3","lb/ft^3")</f>
        <v>lb/ft^3</v>
      </c>
      <c r="E21" s="2"/>
      <c r="F21" s="2"/>
      <c r="G21" s="2"/>
      <c r="H21" s="2"/>
      <c r="I21" s="2"/>
      <c r="J21" s="2"/>
    </row>
    <row r="22" spans="1:10" ht="12.75">
      <c r="A22" s="2"/>
      <c r="B22" s="6" t="s">
        <v>25</v>
      </c>
      <c r="C22" s="15">
        <v>10</v>
      </c>
      <c r="D22" s="2" t="str">
        <f>IF($C$9="SI","m","ft")</f>
        <v>ft</v>
      </c>
      <c r="E22" s="18" t="s">
        <v>35</v>
      </c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5" t="s">
        <v>26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6" t="s">
        <v>27</v>
      </c>
      <c r="C25" s="15">
        <v>3</v>
      </c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ht="15">
      <c r="B27" s="28" t="s">
        <v>65</v>
      </c>
    </row>
    <row r="28" spans="3:7" ht="15">
      <c r="C28" t="s">
        <v>1</v>
      </c>
      <c r="D28" s="3">
        <f>IF($C$9="SI",1,1000)</f>
        <v>1000</v>
      </c>
      <c r="F28" t="s">
        <v>49</v>
      </c>
      <c r="G28" s="11">
        <f>IF(C20=0,5.14,+(G31-1)/TAN(D30))</f>
        <v>32.67112627835943</v>
      </c>
    </row>
    <row r="29" spans="3:7" ht="14.25" customHeight="1">
      <c r="C29" s="26" t="s">
        <v>47</v>
      </c>
      <c r="D29" s="3">
        <f>IF($C$9="SI",9.8,62.4)</f>
        <v>62.4</v>
      </c>
      <c r="F29" t="s">
        <v>50</v>
      </c>
      <c r="G29" s="11">
        <f>IF(C20=0,2*G37,1+G37*G31/G28)</f>
        <v>1.4553860711668183</v>
      </c>
    </row>
    <row r="30" spans="3:7" ht="15">
      <c r="C30" s="26" t="s">
        <v>61</v>
      </c>
      <c r="D30">
        <f>C20*PI()/180</f>
        <v>0.5410520681182421</v>
      </c>
      <c r="F30" t="s">
        <v>51</v>
      </c>
      <c r="G30" s="11">
        <f>IF(C20=0,0.4*G39,1+0.4*G39)</f>
        <v>1.2666666666666666</v>
      </c>
    </row>
    <row r="31" spans="3:7" ht="15">
      <c r="C31" t="s">
        <v>34</v>
      </c>
      <c r="D31" s="12">
        <f>IF(C13="SQ",C14^2*C16*D32,IF(C11="CI",PI()*C14^2/4*C16*D32,IF(C11="CO",C14*C16*D32,C14*C15*C16*D32)))</f>
        <v>3744</v>
      </c>
      <c r="F31" t="s">
        <v>52</v>
      </c>
      <c r="G31" s="11">
        <f>EXP(PI()*TAN(D30))*(TAN(PI()/4+D30/2))^2</f>
        <v>20.63079315994264</v>
      </c>
    </row>
    <row r="32" spans="3:7" ht="15">
      <c r="C32" s="26" t="s">
        <v>62</v>
      </c>
      <c r="D32">
        <f>IF(C9="SI",23.6,150)</f>
        <v>150</v>
      </c>
      <c r="F32" t="s">
        <v>53</v>
      </c>
      <c r="G32" s="11">
        <f>1+G37*SIN(D30)</f>
        <v>1.3714216886370583</v>
      </c>
    </row>
    <row r="33" spans="6:7" ht="15">
      <c r="F33" t="s">
        <v>54</v>
      </c>
      <c r="G33" s="11">
        <f>1+2*G39*TAN(D30)*(1-SIN(D30))^2</f>
        <v>1.188420331465628</v>
      </c>
    </row>
    <row r="34" spans="6:7" ht="14.25">
      <c r="F34" t="s">
        <v>55</v>
      </c>
      <c r="G34" s="11">
        <f>1.5*(G31-1)*TAN(D30)</f>
        <v>17.6930557951277</v>
      </c>
    </row>
    <row r="35" spans="6:7" ht="15">
      <c r="F35" t="s">
        <v>56</v>
      </c>
      <c r="G35" s="11">
        <f>IF((1-0.4*G37)&gt;0.6,1-0.4*G37,0.6)</f>
        <v>0.7115384615384615</v>
      </c>
    </row>
    <row r="36" spans="6:7" ht="14.25">
      <c r="F36" t="s">
        <v>57</v>
      </c>
      <c r="G36" s="11">
        <v>1</v>
      </c>
    </row>
    <row r="37" spans="6:7" ht="12.75">
      <c r="F37" t="s">
        <v>28</v>
      </c>
      <c r="G37">
        <f>IF(C13="SQ",1,IF(C13="CI",1,IF(C13="CO",0,C14/C15)))</f>
        <v>0.7211538461538461</v>
      </c>
    </row>
    <row r="38" spans="6:7" ht="12.75">
      <c r="F38" t="s">
        <v>32</v>
      </c>
      <c r="G38">
        <f>C16/C14</f>
        <v>0.6666666666666666</v>
      </c>
    </row>
    <row r="39" spans="6:7" ht="12.75">
      <c r="F39" t="s">
        <v>29</v>
      </c>
      <c r="G39">
        <f>IF(C16/C14&lt;=1,C16/C14,ATAN(C16/C14))</f>
        <v>0.6666666666666666</v>
      </c>
    </row>
    <row r="40" spans="6:7" ht="13.5" customHeight="1">
      <c r="F40" s="20" t="s">
        <v>37</v>
      </c>
      <c r="G40">
        <v>1</v>
      </c>
    </row>
    <row r="41" spans="6:7" ht="15">
      <c r="F41" t="s">
        <v>38</v>
      </c>
      <c r="G41">
        <v>1</v>
      </c>
    </row>
    <row r="42" spans="6:7" ht="15">
      <c r="F42" t="s">
        <v>39</v>
      </c>
      <c r="G42">
        <v>1</v>
      </c>
    </row>
    <row r="43" spans="6:7" ht="15">
      <c r="F43" s="20" t="s">
        <v>40</v>
      </c>
      <c r="G43">
        <v>1</v>
      </c>
    </row>
    <row r="44" spans="6:7" ht="15">
      <c r="F44" t="s">
        <v>41</v>
      </c>
      <c r="G44">
        <v>1</v>
      </c>
    </row>
    <row r="45" spans="6:7" ht="15">
      <c r="F45" t="s">
        <v>42</v>
      </c>
      <c r="G45">
        <v>1</v>
      </c>
    </row>
    <row r="46" spans="6:7" ht="14.25">
      <c r="F46" s="20" t="s">
        <v>43</v>
      </c>
      <c r="G46">
        <v>1</v>
      </c>
    </row>
    <row r="47" spans="6:7" ht="14.25">
      <c r="F47" t="s">
        <v>44</v>
      </c>
      <c r="G47">
        <v>1</v>
      </c>
    </row>
    <row r="48" spans="6:7" ht="14.25">
      <c r="F48" t="s">
        <v>58</v>
      </c>
      <c r="G48">
        <v>1</v>
      </c>
    </row>
    <row r="49" spans="6:7" ht="12.75">
      <c r="F49" s="26" t="s">
        <v>48</v>
      </c>
      <c r="G49">
        <f>IF(C22&lt;=C16,C21-D29,IF(C16+C14&lt;=C22,C21,C21-D29*(1-((C22-C16)/C14))))</f>
        <v>123</v>
      </c>
    </row>
    <row r="50" spans="6:7" ht="15">
      <c r="F50" s="26" t="s">
        <v>46</v>
      </c>
      <c r="G50">
        <f>IF(C22&gt;C16,C21*C16,C21*C16-D29*(C16-C22))</f>
        <v>246</v>
      </c>
    </row>
  </sheetData>
  <sheetProtection/>
  <printOptions/>
  <pageMargins left="0.5" right="0.25" top="0.5" bottom="0.5" header="0.5" footer="0.5"/>
  <pageSetup horizontalDpi="600" verticalDpi="600" orientation="portrait" r:id="rId1"/>
  <headerFooter alignWithMargins="0">
    <oddHeader>&amp;R&amp;"Arial,Italic"&amp;8Shome S Dey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17.00390625" style="0" customWidth="1"/>
    <col min="4" max="4" width="10.28125" style="0" customWidth="1"/>
    <col min="6" max="6" width="8.28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 t="s">
        <v>81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2</v>
      </c>
      <c r="B4" s="2"/>
      <c r="C4" s="4">
        <f ca="1">NOW()</f>
        <v>41695.85125914352</v>
      </c>
      <c r="D4" s="2"/>
      <c r="E4" s="2"/>
      <c r="F4" s="2"/>
      <c r="G4" s="2"/>
      <c r="H4" s="2"/>
      <c r="I4" s="2"/>
    </row>
    <row r="5" spans="1:9" ht="12.75">
      <c r="A5" s="2" t="s">
        <v>3</v>
      </c>
      <c r="B5" s="2"/>
      <c r="C5" s="14" t="s">
        <v>4</v>
      </c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" t="s">
        <v>80</v>
      </c>
      <c r="B7" s="2"/>
      <c r="C7" s="2"/>
      <c r="D7" s="2"/>
      <c r="E7" s="2"/>
      <c r="F7" s="5"/>
      <c r="G7" s="31" t="s">
        <v>79</v>
      </c>
      <c r="H7" s="2"/>
      <c r="I7" s="2"/>
    </row>
    <row r="8" spans="1:9" ht="12.75">
      <c r="A8" s="2"/>
      <c r="B8" s="2" t="s">
        <v>5</v>
      </c>
      <c r="C8" s="2"/>
      <c r="D8" s="2"/>
      <c r="E8" s="2"/>
      <c r="F8" s="2"/>
      <c r="G8" s="2"/>
      <c r="H8" s="6"/>
      <c r="I8" s="2"/>
    </row>
    <row r="9" spans="1:9" ht="12.75">
      <c r="A9" s="2"/>
      <c r="B9" s="2"/>
      <c r="C9" s="13" t="s">
        <v>6</v>
      </c>
      <c r="D9" s="2" t="s">
        <v>7</v>
      </c>
      <c r="E9" s="2"/>
      <c r="F9" s="2"/>
      <c r="G9" s="2" t="s">
        <v>8</v>
      </c>
      <c r="H9" s="2"/>
      <c r="I9" s="2"/>
    </row>
    <row r="10" spans="1:9" ht="12.75">
      <c r="A10" s="2"/>
      <c r="B10" s="2"/>
      <c r="C10" s="2"/>
      <c r="D10" s="2"/>
      <c r="E10" s="2"/>
      <c r="F10" s="2"/>
      <c r="G10" s="6" t="s">
        <v>9</v>
      </c>
      <c r="H10" s="9">
        <f>+C18*G29*G30*G31+G40*G32*G33*G34+0.5*G41*C13*G35*G36*G37</f>
        <v>12533.052962932214</v>
      </c>
      <c r="I10" s="2" t="str">
        <f>IF($C$9="SI","kPa","lb/ft^2")</f>
        <v>lb/ft^2</v>
      </c>
    </row>
    <row r="11" spans="1:9" ht="12.75">
      <c r="A11" s="2"/>
      <c r="B11" s="2" t="s">
        <v>10</v>
      </c>
      <c r="C11" s="2"/>
      <c r="D11" s="2"/>
      <c r="E11" s="2"/>
      <c r="F11" s="2"/>
      <c r="G11" s="6" t="s">
        <v>11</v>
      </c>
      <c r="H11" s="9">
        <f>+H10/C24</f>
        <v>5013.221185172885</v>
      </c>
      <c r="I11" s="2" t="str">
        <f>IF($C$9="SI","kPa","lb/ft^2")</f>
        <v>lb/ft^2</v>
      </c>
    </row>
    <row r="12" spans="1:9" ht="12.75">
      <c r="A12" s="2"/>
      <c r="B12" s="6" t="s">
        <v>12</v>
      </c>
      <c r="C12" s="13" t="s">
        <v>66</v>
      </c>
      <c r="D12" s="2" t="s">
        <v>13</v>
      </c>
      <c r="E12" s="2"/>
      <c r="F12" s="2"/>
      <c r="G12" s="2"/>
      <c r="H12" s="2"/>
      <c r="I12" s="2"/>
    </row>
    <row r="13" spans="1:9" ht="12.75">
      <c r="A13" s="2"/>
      <c r="B13" s="6" t="s">
        <v>15</v>
      </c>
      <c r="C13" s="15">
        <v>3</v>
      </c>
      <c r="D13" s="2" t="str">
        <f>IF($C$9="SI","m","ft")</f>
        <v>ft</v>
      </c>
      <c r="E13" s="2"/>
      <c r="F13" s="2"/>
      <c r="G13" s="10" t="str">
        <f>IF($C$12="CO","Allowable Wall Load","Allowable Column Load")</f>
        <v>Allowable Column Load</v>
      </c>
      <c r="H13" s="2"/>
      <c r="I13" s="2"/>
    </row>
    <row r="14" spans="1:9" ht="12.75">
      <c r="A14" s="2"/>
      <c r="B14" s="6" t="s">
        <v>17</v>
      </c>
      <c r="C14" s="15"/>
      <c r="D14" s="2" t="str">
        <f>IF($C$9="SI","m","ft")</f>
        <v>ft</v>
      </c>
      <c r="E14" s="2"/>
      <c r="F14" s="2"/>
      <c r="G14" s="6" t="str">
        <f>IF($C$12="CO","P/b =","P =")</f>
        <v>P =</v>
      </c>
      <c r="H14" s="8">
        <f>IF($C$12="SQ",H11*$C$13^2/$D$29,IF($C$12="CI",$H$11*PI()*$C$13^2/4/$D$29,IF($C$12="CO",$H$11*$C$13/$D$29,$H$11*$C$13*$C$14/$D$29)))-D32/D29</f>
        <v>42.41899066655596</v>
      </c>
      <c r="I14" s="2" t="str">
        <f>IF($C$9="SI",IF($C$12="CO","kN/m","kN"),IF($C$12="CO","k/ft","k"))</f>
        <v>k</v>
      </c>
    </row>
    <row r="15" spans="1:9" ht="12.75">
      <c r="A15" s="2"/>
      <c r="B15" s="6" t="s">
        <v>18</v>
      </c>
      <c r="C15" s="15">
        <v>2</v>
      </c>
      <c r="D15" s="2" t="str">
        <f>IF($C$9="SI","m","ft")</f>
        <v>ft</v>
      </c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 t="s">
        <v>19</v>
      </c>
      <c r="C17" s="2"/>
      <c r="D17" s="2"/>
      <c r="E17" s="2"/>
      <c r="F17" s="2"/>
      <c r="G17" s="2"/>
      <c r="H17" s="2"/>
      <c r="I17" s="2"/>
    </row>
    <row r="18" spans="1:9" ht="12.75">
      <c r="A18" s="2"/>
      <c r="B18" s="6" t="s">
        <v>21</v>
      </c>
      <c r="C18" s="15">
        <v>0</v>
      </c>
      <c r="D18" s="2" t="str">
        <f>IF($C$9="SI","kPa","lb/ft^2")</f>
        <v>lb/ft^2</v>
      </c>
      <c r="E18" s="2"/>
      <c r="F18" s="2"/>
      <c r="G18" s="2"/>
      <c r="H18" s="2"/>
      <c r="I18" s="2"/>
    </row>
    <row r="19" spans="1:9" ht="12.75">
      <c r="A19" s="2"/>
      <c r="B19" s="6" t="s">
        <v>22</v>
      </c>
      <c r="C19" s="15">
        <v>31</v>
      </c>
      <c r="D19" s="2" t="s">
        <v>23</v>
      </c>
      <c r="E19" s="2"/>
      <c r="F19" s="2"/>
      <c r="G19" s="2"/>
      <c r="H19" s="2"/>
      <c r="I19" s="2"/>
    </row>
    <row r="20" spans="1:9" ht="12.75">
      <c r="A20" s="2"/>
      <c r="B20" s="6" t="s">
        <v>24</v>
      </c>
      <c r="C20" s="15">
        <v>123</v>
      </c>
      <c r="D20" s="2" t="str">
        <f>IF($C$9="SI","kN/m^3","lb/ft^3")</f>
        <v>lb/ft^3</v>
      </c>
      <c r="E20" s="2"/>
      <c r="F20" s="2"/>
      <c r="G20" s="2"/>
      <c r="H20" s="2"/>
      <c r="I20" s="2"/>
    </row>
    <row r="21" spans="1:9" ht="12.75">
      <c r="A21" s="2"/>
      <c r="B21" s="6" t="s">
        <v>25</v>
      </c>
      <c r="C21" s="15">
        <v>10</v>
      </c>
      <c r="D21" s="2" t="str">
        <f>IF($C$9="SI","m","ft")</f>
        <v>ft</v>
      </c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 t="s">
        <v>26</v>
      </c>
      <c r="C23" s="2"/>
      <c r="D23" s="2"/>
      <c r="E23" s="2"/>
      <c r="F23" s="2"/>
      <c r="G23" s="2"/>
      <c r="H23" s="2"/>
      <c r="I23" s="2"/>
    </row>
    <row r="24" spans="1:9" ht="12.75">
      <c r="A24" s="2"/>
      <c r="B24" s="6" t="s">
        <v>27</v>
      </c>
      <c r="C24" s="15">
        <v>2.5</v>
      </c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7" ht="15">
      <c r="B27" s="28" t="s">
        <v>20</v>
      </c>
    </row>
    <row r="29" spans="3:7" ht="15">
      <c r="C29" t="s">
        <v>1</v>
      </c>
      <c r="D29" s="3">
        <f>IF($C$9="SI",1,1000)</f>
        <v>1000</v>
      </c>
      <c r="F29" t="s">
        <v>49</v>
      </c>
      <c r="G29" s="11">
        <f>IF(C19=0,5.14,+(G32-1)/TAN(D31))</f>
        <v>32.67112627835943</v>
      </c>
    </row>
    <row r="30" spans="3:7" ht="15">
      <c r="C30" s="26" t="s">
        <v>73</v>
      </c>
      <c r="D30" s="3">
        <f>IF($C$9="SI",9.8,62.4)</f>
        <v>62.4</v>
      </c>
      <c r="F30" t="s">
        <v>50</v>
      </c>
      <c r="G30" s="11">
        <f>1+G38*G32/G29</f>
        <v>1.6314686853513214</v>
      </c>
    </row>
    <row r="31" spans="3:7" ht="15">
      <c r="C31" s="26" t="s">
        <v>61</v>
      </c>
      <c r="D31">
        <f>C19*PI()/180</f>
        <v>0.5410520681182421</v>
      </c>
      <c r="F31" t="s">
        <v>51</v>
      </c>
      <c r="G31" s="11">
        <f>1+0.4*G39</f>
        <v>1.2666666666666666</v>
      </c>
    </row>
    <row r="32" spans="3:7" ht="15">
      <c r="C32" t="s">
        <v>34</v>
      </c>
      <c r="D32" s="12">
        <f>IF(C12="SQ",C13^2*C15*D33,IF(C12="CI",PI()*C13^2/4*C15*D33,IF(C12="CO",C13*C15*D33,C13*C14*C15*D33)))</f>
        <v>2700</v>
      </c>
      <c r="F32" t="s">
        <v>52</v>
      </c>
      <c r="G32" s="11">
        <f>EXP(PI()*TAN(D31))*(TAN(PI()/4+D31/2))^2</f>
        <v>20.63079315994264</v>
      </c>
    </row>
    <row r="33" spans="3:7" ht="15">
      <c r="C33" s="26" t="s">
        <v>62</v>
      </c>
      <c r="D33">
        <f>IF(C9="SI",23.6,150)</f>
        <v>150</v>
      </c>
      <c r="F33" t="s">
        <v>74</v>
      </c>
      <c r="G33" s="11">
        <f>1+G38*TAN(D31)</f>
        <v>1.6008606190275603</v>
      </c>
    </row>
    <row r="34" spans="6:7" ht="15">
      <c r="F34" t="s">
        <v>54</v>
      </c>
      <c r="G34" s="11">
        <f>1+2*G39*TAN(D31)*(1-SIN(D31))^2</f>
        <v>1.188420331465628</v>
      </c>
    </row>
    <row r="35" spans="6:7" ht="14.25">
      <c r="F35" t="s">
        <v>55</v>
      </c>
      <c r="G35" s="11">
        <f>2*(G32+1)*TAN(D31)</f>
        <v>25.99418353628051</v>
      </c>
    </row>
    <row r="36" spans="6:7" ht="14.25">
      <c r="F36" t="s">
        <v>75</v>
      </c>
      <c r="G36" s="11">
        <f>1-0.4*G38</f>
        <v>0.6</v>
      </c>
    </row>
    <row r="37" spans="6:7" ht="14.25">
      <c r="F37" t="s">
        <v>57</v>
      </c>
      <c r="G37" s="11">
        <v>1</v>
      </c>
    </row>
    <row r="38" spans="6:7" ht="12.75">
      <c r="F38" t="s">
        <v>28</v>
      </c>
      <c r="G38">
        <f>IF(C12="SQ",1,IF(C12="CI",1,IF(C12="CO",0,C13/C14)))</f>
        <v>1</v>
      </c>
    </row>
    <row r="39" spans="6:7" ht="12.75">
      <c r="F39" t="s">
        <v>29</v>
      </c>
      <c r="G39">
        <f>IF(C15/C13&lt;=1,C15/C13,ATAN(C15/C13))</f>
        <v>0.6666666666666666</v>
      </c>
    </row>
    <row r="40" spans="6:7" ht="15">
      <c r="F40" s="26" t="s">
        <v>76</v>
      </c>
      <c r="G40">
        <f>IF(C21&gt;C15,C20*C15,C20*C15-D30*(C15-C21))</f>
        <v>246</v>
      </c>
    </row>
    <row r="41" spans="6:7" ht="12.75">
      <c r="F41" s="26" t="s">
        <v>71</v>
      </c>
      <c r="G41">
        <f>IF(C21&lt;=C15,C20-D30,IF(C15+C13&lt;=C21,C20,C20-D30*(1-((C21-C15)/C13))))</f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Coduto</dc:creator>
  <cp:keywords/>
  <dc:description/>
  <cp:lastModifiedBy>asus</cp:lastModifiedBy>
  <cp:lastPrinted>2001-11-03T02:29:58Z</cp:lastPrinted>
  <dcterms:created xsi:type="dcterms:W3CDTF">2000-04-06T05:51:29Z</dcterms:created>
  <dcterms:modified xsi:type="dcterms:W3CDTF">2014-02-25T13:26:37Z</dcterms:modified>
  <cp:category/>
  <cp:version/>
  <cp:contentType/>
  <cp:contentStatus/>
</cp:coreProperties>
</file>